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filterPrivacy="1" showInkAnnotation="0" codeName="ThisWorkbook"/>
  <xr:revisionPtr revIDLastSave="0" documentId="13_ncr:1_{13EE8A22-8903-4EA1-862C-C0E8E35BB272}" xr6:coauthVersionLast="47" xr6:coauthVersionMax="47" xr10:uidLastSave="{00000000-0000-0000-0000-000000000000}"/>
  <bookViews>
    <workbookView xWindow="-110" yWindow="-110" windowWidth="19420" windowHeight="1162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1" i="10" l="1"/>
  <c r="K482" i="10"/>
  <c r="K188" i="10"/>
  <c r="K754" i="10"/>
  <c r="K432" i="10"/>
  <c r="J433" i="10"/>
  <c r="K517" i="10"/>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61" i="10"/>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3" i="10"/>
  <c r="K525" i="10"/>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N377" i="2"/>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K387" i="2"/>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99" i="8" l="1"/>
  <c r="L399" i="8" s="1"/>
  <c r="K449" i="8"/>
  <c r="K421" i="8"/>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82" i="8"/>
  <c r="L382" i="8" s="1"/>
  <c r="K381" i="8" s="1"/>
  <c r="L381" i="8" s="1"/>
  <c r="K46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92" i="8" l="1"/>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6" i="8" l="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L543" i="10" l="1"/>
  <c r="K536" i="10" s="1"/>
  <c r="L536" i="10" s="1"/>
  <c r="K524" i="10"/>
  <c r="K543" i="10"/>
  <c r="K846" i="10"/>
  <c r="L846" i="10" s="1"/>
  <c r="L524" i="10"/>
  <c r="K51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40" i="10" l="1"/>
  <c r="L540" i="10" s="1"/>
  <c r="K535" i="10"/>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<sst xmlns="http://schemas.openxmlformats.org/spreadsheetml/2006/main" count="26933" uniqueCount="4777">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</sst>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1.4814047190756281E-7</c:v>
                </c:pt>
                <c:pt idx="1">
                  <c:v>1.7575863491295296E-8</c:v>
                </c:pt>
                <c:pt idx="2">
                  <c:v>1.306706432675252E-9</c:v>
                </c:pt>
                <c:pt idx="3">
                  <c:v>5.7302500680771577E-10</c:v>
                </c:pt>
                <c:pt idx="4">
                  <c:v>3.3707420821399809E-10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1.3890466852109007E-4</c:v>
                </c:pt>
                <c:pt idx="1">
                  <c:v>9.9942400808291242E-7</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3.9817243842862074E-4</c:v>
                </c:pt>
                <c:pt idx="1">
                  <c:v>1.393333764668588E-6</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5.0692769538615619E-5</c:v>
                </c:pt>
                <c:pt idx="1">
                  <c:v>1.2080352661847143E-5</c:v>
                </c:pt>
                <c:pt idx="2">
                  <c:v>1.206091490030684E-5</c:v>
                </c:pt>
                <c:pt idx="3">
                  <c:v>1.4668557462750384E-5</c:v>
                </c:pt>
                <c:pt idx="4">
                  <c:v>1.2079154547578146E-5</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1.2081271433738138E-5</c:v>
                </c:pt>
                <c:pt idx="3">
                  <c:v>1.2060395729406698E-5</c:v>
                </c:pt>
                <c:pt idx="4">
                  <c:v>1.2998570482132315E-5</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1.0504035436499858E-5</c:v>
                </c:pt>
                <c:pt idx="1">
                  <c:v>6.7833870799917155E-7</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8.7598446267708142E-5</c:v>
                </c:pt>
                <c:pt idx="1">
                  <c:v>3.7269133937617175E-7</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1.0504035436499858E-5</c:v>
                </c:pt>
                <c:pt idx="1">
                  <c:v>6.7833870799917155E-7</c:v>
                </c:pt>
                <c:pt idx="2">
                  <c:v>4.8591707475508235E-8</c:v>
                </c:pt>
                <c:pt idx="3">
                  <c:v>4.8818542330749883E-8</c:v>
                </c:pt>
                <c:pt idx="4">
                  <c:v>7.7428344150520571E-9</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6.0341885855904789E-2</c:v>
                </c:pt>
                <c:pt idx="1">
                  <c:v>4.3735516537681294E-4</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1.7018123567136802E-2</c:v>
                </c:pt>
                <c:pt idx="1">
                  <c:v>5.958983794557875E-5</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6.5040282850599507E-3</c:v>
                </c:pt>
                <c:pt idx="1">
                  <c:v>1.5499444961737908E-3</c:v>
                </c:pt>
                <c:pt idx="2">
                  <c:v>1.5500623774112752E-3</c:v>
                </c:pt>
                <c:pt idx="3">
                  <c:v>1.5473839636314332E-3</c:v>
                </c:pt>
                <c:pt idx="4">
                  <c:v>1.6678983843541981E-3</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6784103542.0726986</c:v>
                </c:pt>
                <c:pt idx="1">
                  <c:v>120657928829.41106</c:v>
                </c:pt>
                <c:pt idx="2">
                  <c:v>80113533091547.688</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1.2469952790040386E-12</c:v>
                </c:pt>
                <c:pt idx="1">
                  <c:v>1375315.79239847</c:v>
                </c:pt>
                <c:pt idx="2">
                  <c:v>148580.98120118779</c:v>
                </c:pt>
                <c:pt idx="3">
                  <c:v>310694.48033797194</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4853.2497175648405</c:v>
                </c:pt>
                <c:pt idx="1">
                  <c:v>4809.8136065040862</c:v>
                </c:pt>
                <c:pt idx="2">
                  <c:v>1.0717997170396646E-3</c:v>
                </c:pt>
                <c:pt idx="3">
                  <c:v>2.6293832959736139</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29155.35841825129</c:v>
                </c:pt>
                <c:pt idx="1">
                  <c:v>15947825.528505504</c:v>
                </c:pt>
                <c:pt idx="2">
                  <c:v>5770256.0851903865</c:v>
                </c:pt>
                <c:pt idx="3">
                  <c:v>4160070.7878445736</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18.458355883737198</c:v>
                </c:pt>
                <c:pt idx="1">
                  <c:v>121282.17119484073</c:v>
                </c:pt>
                <c:pt idx="2">
                  <c:v>35398927.438129142</c:v>
                </c:pt>
                <c:pt idx="3">
                  <c:v>6720831749.2973433</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4853.2497175648405</c:v>
                </c:pt>
                <c:pt idx="1">
                  <c:v>4809.8136065040862</c:v>
                </c:pt>
                <c:pt idx="2">
                  <c:v>1.0717997170396646E-3</c:v>
                </c:pt>
                <c:pt idx="3">
                  <c:v>2.6293832959736139</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29155.35841825129</c:v>
                </c:pt>
                <c:pt idx="1">
                  <c:v>15947825.528505504</c:v>
                </c:pt>
                <c:pt idx="2">
                  <c:v>5770256.0851903865</c:v>
                </c:pt>
                <c:pt idx="3">
                  <c:v>4160070.7878445736</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18.458355883737198</c:v>
                </c:pt>
                <c:pt idx="1">
                  <c:v>121282.17119484073</c:v>
                </c:pt>
                <c:pt idx="2">
                  <c:v>35398927.438129142</c:v>
                </c:pt>
                <c:pt idx="3">
                  <c:v>6720831749.2973433</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6.7570277941831985E-11</c:v>
                </c:pt>
                <c:pt idx="1">
                  <c:v>110827633517.47614</c:v>
                </c:pt>
                <c:pt idx="2">
                  <c:v>594542548.63082039</c:v>
                </c:pt>
                <c:pt idx="3">
                  <c:v>1304.9312376498044</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774.35809420535611</c:v>
                </c:pt>
                <c:pt idx="1">
                  <c:v>1.9230303553740002</c:v>
                </c:pt>
                <c:pt idx="2">
                  <c:v>2.4576472630217423E-7</c:v>
                </c:pt>
                <c:pt idx="3">
                  <c:v>1.2081738621146339E-2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125758.6771454909</c:v>
                </c:pt>
                <c:pt idx="1">
                  <c:v>8973132129.1610565</c:v>
                </c:pt>
                <c:pt idx="2">
                  <c:v>224839020.29473048</c:v>
                </c:pt>
                <c:pt idx="3">
                  <c:v>339391.08047177066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5.507042956663974</c:v>
                </c:pt>
                <c:pt idx="1">
                  <c:v>352043.50525000569</c:v>
                </c:pt>
                <c:pt idx="2">
                  <c:v>5418674.789044952</c:v>
                </c:pt>
                <c:pt idx="3">
                  <c:v>31543659.064895291</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1.0722454331691973E-7</c:v>
                </c:pt>
                <c:pt idx="1">
                  <c:v>74076131390548.219</c:v>
                </c:pt>
                <c:pt idx="2">
                  <c:v>25643163754.91164</c:v>
                </c:pt>
                <c:pt idx="3">
                  <c:v>18.466036094308308</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18.631545570530001</c:v>
                </c:pt>
                <c:pt idx="1">
                  <c:v>1.6728519496653604E-2</c:v>
                </c:pt>
                <c:pt idx="2">
                  <c:v>6.1553835260962675E-18</c:v>
                </c:pt>
                <c:pt idx="3">
                  <c:v>3.0770895257747107E-4</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168674.65268723684</c:v>
                </c:pt>
                <c:pt idx="1">
                  <c:v>6000715487315.5293</c:v>
                </c:pt>
                <c:pt idx="2">
                  <c:v>9689093923.1155968</c:v>
                </c:pt>
                <c:pt idx="3">
                  <c:v>255912.61745348747</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0.18207228408103426</c:v>
                </c:pt>
                <c:pt idx="1">
                  <c:v>681428865.60121787</c:v>
                </c:pt>
                <c:pt idx="2">
                  <c:v>671602297.3824513</c:v>
                </c:pt>
                <c:pt idx="3">
                  <c:v>500218.35213026521</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774.35809420535611</c:v>
                </c:pt>
                <c:pt idx="1">
                  <c:v>1.9230303553740002</c:v>
                </c:pt>
                <c:pt idx="2">
                  <c:v>2.4576472630217423E-7</c:v>
                </c:pt>
                <c:pt idx="3">
                  <c:v>1.2081738621146339E-2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125758.6771454909</c:v>
                </c:pt>
                <c:pt idx="1">
                  <c:v>8973132129.1610565</c:v>
                </c:pt>
                <c:pt idx="2">
                  <c:v>224839020.29473048</c:v>
                </c:pt>
                <c:pt idx="3">
                  <c:v>339391.08047177066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5.507042956663974</c:v>
                </c:pt>
                <c:pt idx="1">
                  <c:v>352043.50525000569</c:v>
                </c:pt>
                <c:pt idx="2">
                  <c:v>5418674.789044952</c:v>
                </c:pt>
                <c:pt idx="3">
                  <c:v>31543659.064895291</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18.631545570530001</c:v>
                </c:pt>
                <c:pt idx="1">
                  <c:v>1.6728519496653604E-2</c:v>
                </c:pt>
                <c:pt idx="2">
                  <c:v>6.1553835260962675E-18</c:v>
                </c:pt>
                <c:pt idx="3">
                  <c:v>3.0770895257747107E-4</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168674.65268723684</c:v>
                </c:pt>
                <c:pt idx="1">
                  <c:v>6000715487315.5293</c:v>
                </c:pt>
                <c:pt idx="2">
                  <c:v>9689093923.1155968</c:v>
                </c:pt>
                <c:pt idx="3">
                  <c:v>255912.61745348747</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0.18207228408103426</c:v>
                </c:pt>
                <c:pt idx="1">
                  <c:v>681428865.60121787</c:v>
                </c:pt>
                <c:pt idx="2">
                  <c:v>671602297.3824513</c:v>
                </c:pt>
                <c:pt idx="3">
                  <c:v>500218.35213026521</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34027.066491699872</c:v>
                </c:pt>
                <c:pt idx="1">
                  <c:v>126538.542282653</c:v>
                </c:pt>
                <c:pt idx="2" formatCode="0.00E+00">
                  <c:v>168693.46630519867</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17449233.30570532</c:v>
                </c:pt>
                <c:pt idx="1">
                  <c:v>119801117692.06548</c:v>
                </c:pt>
                <c:pt idx="2">
                  <c:v>80077528306729.375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41317764.50559251</c:v>
                </c:pt>
                <c:pt idx="1">
                  <c:v>824800243.71459603</c:v>
                </c:pt>
                <c:pt idx="2">
                  <c:v>36003859975.409683</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6725302517.1949091</c:v>
                </c:pt>
                <c:pt idx="1">
                  <c:v>31884355.088686451</c:v>
                </c:pt>
                <c:pt idx="2">
                  <c:v>756149.4359275559</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1834591.2539376295</c:v>
                </c:pt>
                <c:pt idx="1">
                  <c:v>111422177371.03821</c:v>
                </c:pt>
                <c:pt idx="2">
                  <c:v>74101774554321.609</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9665.693779164616</c:v>
                </c:pt>
                <c:pt idx="1">
                  <c:v>776.29320654511582</c:v>
                </c:pt>
                <c:pt idx="2">
                  <c:v>18.64858179897923</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25907307.759958718</c:v>
                </c:pt>
                <c:pt idx="1">
                  <c:v>9198436299.2134056</c:v>
                </c:pt>
                <c:pt idx="2">
                  <c:v>6010405005825.916</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6756351977.3650227</c:v>
                </c:pt>
                <c:pt idx="1">
                  <c:v>37314382.866233207</c:v>
                </c:pt>
                <c:pt idx="2">
                  <c:v>1353531381.5178714</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9665.693779164616</c:v>
                </c:pt>
                <c:pt idx="1">
                  <c:v>776.29320654511582</c:v>
                </c:pt>
                <c:pt idx="2">
                  <c:v>18.64858179897923</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25907307.759958718</c:v>
                </c:pt>
                <c:pt idx="1">
                  <c:v>9198436299.2134056</c:v>
                </c:pt>
                <c:pt idx="2">
                  <c:v>6010405005825.916</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6756351977.3650227</c:v>
                </c:pt>
                <c:pt idx="1">
                  <c:v>37314382.866233207</c:v>
                </c:pt>
                <c:pt idx="2">
                  <c:v>1353531381.5178714</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34027.066491699872</c:v>
                </c:pt>
                <c:pt idx="1">
                  <c:v>17449233.30570532</c:v>
                </c:pt>
                <c:pt idx="2">
                  <c:v>41317764.50559251</c:v>
                </c:pt>
                <c:pt idx="3">
                  <c:v>6725302517.1949091</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126538.542282653</c:v>
                </c:pt>
                <c:pt idx="1">
                  <c:v>119801117692.06548</c:v>
                </c:pt>
                <c:pt idx="2">
                  <c:v>824800243.71459603</c:v>
                </c:pt>
                <c:pt idx="3">
                  <c:v>31884355.088686451</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168693.46630519867</c:v>
                </c:pt>
                <c:pt idx="1">
                  <c:v>80077528306729.375</c:v>
                </c:pt>
                <c:pt idx="2">
                  <c:v>36003859975.409683</c:v>
                </c:pt>
                <c:pt idx="3">
                  <c:v>756149.4359275559</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9665.693779164616</c:v>
                </c:pt>
                <c:pt idx="1">
                  <c:v>25907307.759958718</c:v>
                </c:pt>
                <c:pt idx="2">
                  <c:v>6756351977.3650227</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776.29320654511582</c:v>
                </c:pt>
                <c:pt idx="1">
                  <c:v>9198436299.2134056</c:v>
                </c:pt>
                <c:pt idx="2">
                  <c:v>37314382.866233207</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18.64858179897923</c:v>
                </c:pt>
                <c:pt idx="1">
                  <c:v>6010405005825.916</c:v>
                </c:pt>
                <c:pt idx="2">
                  <c:v>1353531381.5178714</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4853.2497175648405</c:v>
                </c:pt>
                <c:pt idx="1">
                  <c:v>29155.35841825129</c:v>
                </c:pt>
                <c:pt idx="2">
                  <c:v>18.458355883737198</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4809.8136065040862</c:v>
                </c:pt>
                <c:pt idx="1">
                  <c:v>15947825.528505504</c:v>
                </c:pt>
                <c:pt idx="2">
                  <c:v>121282.17119484073</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1.0717997170396646E-3</c:v>
                </c:pt>
                <c:pt idx="1">
                  <c:v>5770256.0851903865</c:v>
                </c:pt>
                <c:pt idx="2">
                  <c:v>35398927.438129142</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2.6293832959736139</c:v>
                </c:pt>
                <c:pt idx="1">
                  <c:v>4160070.7878445736</c:v>
                </c:pt>
                <c:pt idx="2">
                  <c:v>6720831749.2973433</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18.631545570530001</c:v>
                </c:pt>
                <c:pt idx="1">
                  <c:v>168674.65268723684</c:v>
                </c:pt>
                <c:pt idx="2">
                  <c:v>0.18207228408103426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1.6728519496653604E-2</c:v>
                </c:pt>
                <c:pt idx="1">
                  <c:v>6000715487315.5293</c:v>
                </c:pt>
                <c:pt idx="2">
                  <c:v>681428865.60121787</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6.1553835260962675E-18</c:v>
                </c:pt>
                <c:pt idx="1">
                  <c:v>9689093923.1155968</c:v>
                </c:pt>
                <c:pt idx="2">
                  <c:v>671602297.3824513</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3.0770895257747107E-4</c:v>
                </c:pt>
                <c:pt idx="1">
                  <c:v>255912.61745348747</c:v>
                </c:pt>
                <c:pt idx="2">
                  <c:v>500218.35213026521</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774.35809420535611</c:v>
                </c:pt>
                <c:pt idx="1">
                  <c:v>125758.6771454909</c:v>
                </c:pt>
                <c:pt idx="2">
                  <c:v>5.507042956663974</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1.9230303553740002</c:v>
                </c:pt>
                <c:pt idx="1">
                  <c:v>8973132129.1610565</c:v>
                </c:pt>
                <c:pt idx="2">
                  <c:v>352043.50525000569</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2.4576472630217423E-7</c:v>
                </c:pt>
                <c:pt idx="1">
                  <c:v>224839020.29473048</c:v>
                </c:pt>
                <c:pt idx="2">
                  <c:v>5418674.789044952</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1.2081738621146339E-2</c:v>
                </c:pt>
                <c:pt idx="1">
                  <c:v>339391.08047177066</c:v>
                </c:pt>
                <c:pt idx="2">
                  <c:v>31543659.064895291</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19406326847392.188</c:v>
                </c:pt>
                <c:pt idx="1">
                  <c:v>12847054887014.555</c:v>
                </c:pt>
                <c:pt idx="2">
                  <c:v>47860151357140.953</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0629" y="192368"/>
          <a:ext cx="2549339" cy="77021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432125" y="7108825"/>
          <a:ext cx="307975" cy="1746250"/>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403550" y="16773525"/>
          <a:ext cx="314325" cy="1746250"/>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74975" y="25673050"/>
          <a:ext cx="314325" cy="171767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59150" y="787400"/>
          <a:ext cx="10487025" cy="588010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59150" y="10312400"/>
          <a:ext cx="10487025" cy="588010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603575" y="19900900"/>
          <a:ext cx="3667125" cy="51911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80275" y="19900900"/>
          <a:ext cx="3667125" cy="51911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756975" y="19900900"/>
          <a:ext cx="3724275" cy="51911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nTiO2_10nm</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45407</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4.5680664521668974E-22</v>
      </c>
      <c r="CE4" s="2"/>
    </row>
    <row r="5" spans="1:83" ht="12.75" customHeight="1" x14ac:dyDescent="0.45">
      <c r="A5" s="17"/>
      <c r="B5" s="21" t="s">
        <v>85</v>
      </c>
      <c r="C5" s="918" t="str">
        <f>ChemName</f>
        <v>nTiO2_10nm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nTiO2_10nm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1.8381135713371689E-22</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2.029743073429819E-17</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1.1746873523886644E-17</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34027.066491699872</v>
      </c>
      <c r="D11" s="446">
        <f t="shared" ref="D11:D17" si="0">C11/$C$103</f>
        <v>5.0157056537648049E-6</v>
      </c>
      <c r="E11" s="453">
        <f>SUM(E12,E15:E17)</f>
        <v>126538.542282653</v>
      </c>
      <c r="F11" s="446">
        <f t="shared" ref="F11:F17" si="1">E11/$E$103</f>
        <v>1.048737894892561E-6</v>
      </c>
      <c r="G11" s="445">
        <f>SUM(G12,G15:G17)</f>
        <v>101362.9369400728</v>
      </c>
      <c r="H11" s="446">
        <f t="shared" ref="H11:H17" si="2">G11/$G$103</f>
        <v>5.2231902377596974E-9</v>
      </c>
      <c r="I11" s="445">
        <f>SUM(I12,I15:I17)</f>
        <v>24353.566490695779</v>
      </c>
      <c r="J11" s="446">
        <f t="shared" ref="J11:J17" si="3">I11/$I$103</f>
        <v>1.8956536501849684E-9</v>
      </c>
      <c r="K11" s="445">
        <f>SUM(K12,K15:K17)</f>
        <v>42976.962874430079</v>
      </c>
      <c r="L11" s="461">
        <f t="shared" ref="L11:L17" si="4">K11/$K$103</f>
        <v>8.9796963978923397E-10</v>
      </c>
      <c r="M11" s="459">
        <f xml:space="preserve"> (M.aRG+M.aRS+M.aRA+M.aRP+M.cwRS+M.cwRA+M.cwRP)*(Molweight*1000)/(VOLUME.aR+VOLUME.cwR)</f>
        <v>1.4822087594939639E-7</v>
      </c>
      <c r="N11" s="459">
        <f xml:space="preserve"> (M.aCG+M.aCS+M.aCA+M.aCP+M.cwCS+M.cwCA+M.cwCP)*Molweight*1000/(VOLUME.aC+VOLUME.cwC)</f>
        <v>1.757662843805457E-8</v>
      </c>
      <c r="O11" s="459">
        <f xml:space="preserve"> (M.aMG+M.aMS+M.aMA+M.aMP+M.cwMS+M.cwMA+M.cwMP)*Molweight*1000/(VOLUME.aM+VOLUME.cwM)</f>
        <v>1.3067087150160912E-9</v>
      </c>
      <c r="P11" s="459">
        <f xml:space="preserve"> (M.aAG+M.aAS+M.aAA+M.aAP+M.cwAS+M.cwAA+M.cwAP)*Molweight*1000/(VOLUME.aA+VOLUME.cwA)</f>
        <v>5.7302509389877569E-10</v>
      </c>
      <c r="Q11" s="459">
        <f xml:space="preserve"> (M.aTG+M.aTS+M.aTA+M.aTP+M.cwTS+M.cwTA+M.cwTP)*Molweight*1000/(VOLUME.aT+VOLUME.cwT)</f>
        <v>3.3707421862301129E-10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1.2469952790040386E-12</v>
      </c>
      <c r="D12" s="446">
        <f t="shared" si="0"/>
        <v>1.8381135713371689E-22</v>
      </c>
      <c r="E12" s="296">
        <f>(M.aCG)*Molweight</f>
        <v>6.7570277941831985E-11</v>
      </c>
      <c r="F12" s="446">
        <f t="shared" si="1"/>
        <v>5.6001523146783326E-22</v>
      </c>
      <c r="G12" s="296">
        <f>(M.aMG)*Molweight</f>
        <v>4.5853718970552805E-9</v>
      </c>
      <c r="H12" s="446">
        <f t="shared" si="2"/>
        <v>2.3628231829309111E-22</v>
      </c>
      <c r="I12" s="296">
        <f>(M.aAG)*Molweight</f>
        <v>1.9970367881478103E-10</v>
      </c>
      <c r="J12" s="446">
        <f t="shared" si="3"/>
        <v>1.5544705037154932E-23</v>
      </c>
      <c r="K12" s="296">
        <f>(M.aTG)*Molweight</f>
        <v>1.0243946774104967E-7</v>
      </c>
      <c r="L12" s="461">
        <f t="shared" si="4"/>
        <v>2.1403916376408455E-21</v>
      </c>
      <c r="M12" s="124">
        <f>(M.aRG)*(Molweight*1000)/(VOLUME.aR + VOLUME.cwR)</f>
        <v>5.4318738467750609E-24</v>
      </c>
      <c r="N12" s="124">
        <f>(M.aCG)*(Molweight*1000)/(VOLUME.aC + VOLUME.cwC)</f>
        <v>9.3857385063496984E-24</v>
      </c>
      <c r="O12" s="124">
        <f>(M.aMG)*(Molweight*1000)/(VOLUME.aM + VOLUME.cwM)</f>
        <v>5.9111797668356884E-23</v>
      </c>
      <c r="P12" s="124">
        <f>(M.aAG)*(Molweight*1000)/(VOLUME.aA + VOLUME.cwA)</f>
        <v>4.6989100897599766E-24</v>
      </c>
      <c r="Q12" s="124">
        <f>(M.aTG)*(Molweight*1000)/(VOLUME.aT + VOLUME.cwT)</f>
        <v>8.0344680581222644E-22</v>
      </c>
      <c r="R12" s="160" t="s">
        <v>137</v>
      </c>
      <c r="S12" s="163">
        <f>F.aR</f>
        <v>2.7172450487525632E-22</v>
      </c>
      <c r="T12" s="163">
        <f>F.aC</f>
        <v>4.6951295638808888E-22</v>
      </c>
      <c r="U12" s="163">
        <f>F.aM</f>
        <v>2.9570134371321601E-21</v>
      </c>
      <c r="V12" s="163">
        <f>F.aA</f>
        <v>2.1691378605892747E-22</v>
      </c>
      <c r="W12" s="162">
        <f>F.aT</f>
        <v>4.2024994336753489E-20</v>
      </c>
      <c r="X12" s="17"/>
      <c r="Y12" s="156"/>
      <c r="Z12" s="17"/>
      <c r="AA12" s="312" t="s">
        <v>141</v>
      </c>
      <c r="AB12" s="162" t="s">
        <v>110</v>
      </c>
      <c r="AC12" s="161">
        <f>E.aRG*Molweight</f>
        <v>0</v>
      </c>
      <c r="AD12" s="163">
        <f>k.aC.aR*M.aC*Molweight</f>
        <v>2.029743073429819E-17</v>
      </c>
      <c r="AE12" s="163">
        <f>k.aR.aC*M.aR*Molweight</f>
        <v>1.1746873523886644E-17</v>
      </c>
      <c r="AF12" s="163">
        <f>kesc.aR*VOLUME.aR*C.aRG*Molweight</f>
        <v>4.5680664521668974E-22</v>
      </c>
      <c r="AG12" s="163"/>
      <c r="AH12" s="162">
        <f>KDEG.aR*VOLUME.aR*C.aR*Molweight</f>
        <v>4.7490147961051455E-45</v>
      </c>
      <c r="AI12" s="163">
        <f>SUM(AI13:AI15,AK18:AK20)</f>
        <v>8.5616415752859386E-18</v>
      </c>
      <c r="AJ12" s="163">
        <f>SUM(AJ13:AJ15,AL18:AL20)</f>
        <v>1.154117151960772E-20</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4.7490147961051455E-45</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5.2781884432061521E-25</v>
      </c>
      <c r="D13" s="446">
        <f t="shared" si="0"/>
        <v>7.7802297834527818E-35</v>
      </c>
      <c r="E13" s="296">
        <f>FRgas.aC*E12</f>
        <v>2.8600642371449599E-23</v>
      </c>
      <c r="F13" s="446">
        <f t="shared" si="1"/>
        <v>2.3703906281936798E-34</v>
      </c>
      <c r="G13" s="296">
        <f>FRgas.aC*G12</f>
        <v>1.9408619553210889E-21</v>
      </c>
      <c r="H13" s="446">
        <f t="shared" si="2"/>
        <v>1.0001181421830484E-34</v>
      </c>
      <c r="I13" s="296">
        <f>FRgas.aC*I12</f>
        <v>8.4529081010459608E-23</v>
      </c>
      <c r="J13" s="446">
        <f t="shared" si="3"/>
        <v>6.5796466002413711E-36</v>
      </c>
      <c r="K13" s="296">
        <f>FRgas.aC*K12</f>
        <v>4.3359812491900111E-20</v>
      </c>
      <c r="L13" s="461">
        <f t="shared" si="4"/>
        <v>9.0596897967040438E-34</v>
      </c>
      <c r="M13" s="124">
        <f>FRgas.aR*M12</f>
        <v>2.2991629756530152E-36</v>
      </c>
      <c r="N13" s="124">
        <f>FRgas.aC*N12</f>
        <v>3.9727252660280125E-36</v>
      </c>
      <c r="O13" s="124">
        <f>FRgas.aM*O12</f>
        <v>2.5020400041887506E-35</v>
      </c>
      <c r="P13" s="124">
        <f>FRgas.aA*P12</f>
        <v>1.0338043731076166E-40</v>
      </c>
      <c r="Q13" s="124">
        <f>FRgas.aT*Q12</f>
        <v>1.3480873724258856E-33</v>
      </c>
      <c r="R13" s="160" t="s">
        <v>137</v>
      </c>
      <c r="S13" s="163">
        <f>S12*FRgas.aR</f>
        <v>1.150135181356887E-34</v>
      </c>
      <c r="T13" s="163">
        <f>T12*FRgas.aC</f>
        <v>1.9873193604409299E-34</v>
      </c>
      <c r="U13" s="163">
        <f>U12*FRgas.aM</f>
        <v>1.2516225532739745E-33</v>
      </c>
      <c r="V13" s="163">
        <f>V12*FRgas.aA</f>
        <v>4.7723071165744276E-39</v>
      </c>
      <c r="W13" s="162">
        <f>W12*FRgas.aT</f>
        <v>7.0512899898051486E-32</v>
      </c>
      <c r="X13" s="17"/>
      <c r="Y13" s="156"/>
      <c r="Z13" s="17"/>
      <c r="AA13" s="312" t="s">
        <v>143</v>
      </c>
      <c r="AB13" s="162" t="s">
        <v>144</v>
      </c>
      <c r="AC13" s="938">
        <f>E.w0RD*Molweight</f>
        <v>0</v>
      </c>
      <c r="AD13" s="163">
        <f>k.w1R.w0R*M.w1RD*Molweight</f>
        <v>0</v>
      </c>
      <c r="AE13" s="163">
        <f>(k.w0R.w1R+k.w0R.w2R)*M.w0RD*Molweight</f>
        <v>5.4654371975468387E-5</v>
      </c>
      <c r="AF13" s="163"/>
      <c r="AG13" s="163">
        <f>(kdis.w0S.w0D*M.w0RS+kdis.w0A.w0D*M.w0RA+kdis.w0P.w0D*M.w0RP)*Molweight</f>
        <v>7.9584452806823223E-7</v>
      </c>
      <c r="AH13" s="162">
        <f>KDEG.w0R*M.w0RD*Molweight</f>
        <v>9.2566422963360092E-17</v>
      </c>
      <c r="AI13" s="163">
        <f>k.aRG.w0RD*M.aRG*Molweight</f>
        <v>2.1310868306657481E-20</v>
      </c>
      <c r="AJ13" s="163">
        <f>k.w0RD.aRG*M.w0R*Molweight</f>
        <v>1.6778477359206459E-23</v>
      </c>
      <c r="AK13" s="163"/>
      <c r="AL13" s="163"/>
      <c r="AM13" s="163"/>
      <c r="AN13" s="163">
        <f>k.w0RD.sd0RD*M.w0RD*Molweight</f>
        <v>1.8099119786000869E-6</v>
      </c>
      <c r="AO13" s="162">
        <f>k.sd0RD.w0RD*M.sd0RD*Molweight</f>
        <v>0</v>
      </c>
      <c r="AP13" s="909">
        <f>SUM(AC13,AD13,AI13,AM13,AO13,AG13)-SUM(AF13,AE13,AH13,AJ13,AN13)</f>
        <v>-5.5668439426092786E-5</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1.2469952790035109E-12</v>
      </c>
      <c r="D14" s="446">
        <f t="shared" si="0"/>
        <v>1.838113571336391E-22</v>
      </c>
      <c r="E14" s="296">
        <f>(1-FRgas.aC)*E12</f>
        <v>6.7570277941803383E-11</v>
      </c>
      <c r="F14" s="446">
        <f t="shared" si="1"/>
        <v>5.6001523146759618E-22</v>
      </c>
      <c r="G14" s="296">
        <f>(1-FRgas.aC)*G12</f>
        <v>4.5853718970533399E-9</v>
      </c>
      <c r="H14" s="446">
        <f t="shared" si="2"/>
        <v>2.3628231829299115E-22</v>
      </c>
      <c r="I14" s="296">
        <f>(1-FRgas.aC)*I12</f>
        <v>1.997036788146965E-10</v>
      </c>
      <c r="J14" s="446">
        <f t="shared" si="3"/>
        <v>1.5544705037148352E-23</v>
      </c>
      <c r="K14" s="296">
        <f>(1-FRgas.aC)*K12</f>
        <v>1.0243946774100631E-7</v>
      </c>
      <c r="L14" s="461">
        <f t="shared" si="4"/>
        <v>2.1403916376399397E-21</v>
      </c>
      <c r="M14" s="124">
        <f>(1-FRgas.aR)*M12</f>
        <v>5.4318738467727621E-24</v>
      </c>
      <c r="N14" s="124">
        <f>(1-FRgas.aC)*N12</f>
        <v>9.3857385063457267E-24</v>
      </c>
      <c r="O14" s="124">
        <f>(1-FRgas.aM)*O12</f>
        <v>5.911179766833187E-23</v>
      </c>
      <c r="P14" s="124">
        <f>(1-FRgas.aA)*P12</f>
        <v>4.6989100897599766E-24</v>
      </c>
      <c r="Q14" s="124">
        <f>(1-FRgas.aT)*Q12</f>
        <v>8.0344680581087838E-22</v>
      </c>
      <c r="R14" s="160" t="s">
        <v>137</v>
      </c>
      <c r="S14" s="163">
        <f>S12*(1-FRgas.aR)</f>
        <v>2.7172450487514131E-22</v>
      </c>
      <c r="T14" s="163">
        <f>T12*(1-FRgas.aC)</f>
        <v>4.6951295638789018E-22</v>
      </c>
      <c r="U14" s="163">
        <f>U12*(1-FRgas.aM)</f>
        <v>2.9570134371309086E-21</v>
      </c>
      <c r="V14" s="163">
        <f>V12*(1-FRgas.aA)</f>
        <v>2.1691378605892747E-22</v>
      </c>
      <c r="W14" s="162">
        <f>W12*(1-FRgas.aT)</f>
        <v>4.2024994336682976E-20</v>
      </c>
      <c r="X14" s="17"/>
      <c r="Y14" s="156"/>
      <c r="Z14" s="17"/>
      <c r="AA14" s="312" t="s">
        <v>146</v>
      </c>
      <c r="AB14" s="162" t="s">
        <v>111</v>
      </c>
      <c r="AC14" s="161">
        <f>E.w1RD*Molweight</f>
        <v>0</v>
      </c>
      <c r="AD14" s="163">
        <f>(WATERflow.w0R.w1R*C.w0R+WATERflow.w1C.w1R*C.w1C)*Molweight</f>
        <v>5.4654371975468387E-5</v>
      </c>
      <c r="AE14" s="163">
        <f>(WATERflow.w1R.w0R+WATERflow.w1R.w2R)*C.w1R*Molweight</f>
        <v>6.6068592223611771E-4</v>
      </c>
      <c r="AF14" s="163"/>
      <c r="AG14" s="163">
        <f>(kdis.w1S.w1D*M.w1RS+kdis.w1A.w1D*M.w1RA+kdis.w1P.w1D*M.w1RP)*Molweight</f>
        <v>7.6042953283997963E-7</v>
      </c>
      <c r="AH14" s="162">
        <f>KDEG.w1R*VOLUME.w1R*C.w1R*Molweight</f>
        <v>3.687299930098672E-17</v>
      </c>
      <c r="AI14" s="163">
        <f>k.aRG.w1RD*M.aRG*Molweight</f>
        <v>2.3441955137323231E-19</v>
      </c>
      <c r="AJ14" s="163">
        <f>k.w1RD.aRG*M.w1R*Molweight</f>
        <v>2.2278516843432032E-22</v>
      </c>
      <c r="AK14" s="163"/>
      <c r="AL14" s="163"/>
      <c r="AM14" s="163">
        <f>(k.s1RD.w1RD*M.s1R+k.s2RD.w1RD*M.s2R+k.s3RD.w1RD*M.s3R)*Molweight</f>
        <v>6.1235283368702082E-4</v>
      </c>
      <c r="AN14" s="163">
        <f>k.w1RD.sd1RD*M.w1R*Molweight</f>
        <v>2.3633414616952415E-4</v>
      </c>
      <c r="AO14" s="162">
        <f>k.sd1RD.w1RD*M.sd1R*Molweight</f>
        <v>2.2925243321034902E-4</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1.2376221809443293E-23</v>
      </c>
      <c r="BY14" s="113"/>
      <c r="BZ14" s="138">
        <f>IF(AL20&lt;0,"",AL20)</f>
        <v>4.5837858553493676E-24</v>
      </c>
      <c r="CA14" s="113"/>
      <c r="CB14" s="136">
        <f>IF(AL19&lt;0,"",AL19)</f>
        <v>1.4023021449888614E-21</v>
      </c>
      <c r="CC14" s="140"/>
      <c r="CD14" s="113"/>
      <c r="CE14" s="2"/>
    </row>
    <row r="15" spans="1:83" ht="12.75" customHeight="1" x14ac:dyDescent="0.35">
      <c r="A15" s="17"/>
      <c r="B15" s="159" t="s">
        <v>147</v>
      </c>
      <c r="C15" s="295">
        <f>(M.aRS+M.cwRS)*Molweight</f>
        <v>4853.2497175648405</v>
      </c>
      <c r="D15" s="446">
        <f t="shared" si="0"/>
        <v>7.1538556088754239E-7</v>
      </c>
      <c r="E15" s="296">
        <f>(M.aCS+M.cwCS)*Molweight</f>
        <v>774.35809420535611</v>
      </c>
      <c r="F15" s="446">
        <f t="shared" si="1"/>
        <v>6.4177970044568001E-9</v>
      </c>
      <c r="G15" s="296">
        <f>(M.aMS+M.cwMS)*Molweight</f>
        <v>18.303857373163787</v>
      </c>
      <c r="H15" s="446">
        <f t="shared" si="2"/>
        <v>9.4319020374653996E-13</v>
      </c>
      <c r="I15" s="296">
        <f>(M.aAS+M.cwAS)*Molweight</f>
        <v>0.12512669925643746</v>
      </c>
      <c r="J15" s="446">
        <f t="shared" si="3"/>
        <v>9.7397185858458536E-15</v>
      </c>
      <c r="K15" s="296">
        <f>(M.aTS+M.cwTS)*Molweight</f>
        <v>0.20256149810977733</v>
      </c>
      <c r="L15" s="461">
        <f t="shared" si="4"/>
        <v>4.2323622547331169E-15</v>
      </c>
      <c r="M15" s="124">
        <f>(M.aRS+M.cwRS)*(Molweight*1000)/(VOLUME.aR + VOLUME.cwR)</f>
        <v>2.1140609476696767E-8</v>
      </c>
      <c r="N15" s="124">
        <f>(M.aCS+M.cwCS)*(Molweight*1000)/(VOLUME.aC + VOLUME.cwC)</f>
        <v>1.0756093957084777E-10</v>
      </c>
      <c r="O15" s="124">
        <f>(M.aMS+M.cwMS)*(Molweight*1000)/(VOLUME.aM + VOLUME.cwM)</f>
        <v>2.3596208505743282E-13</v>
      </c>
      <c r="P15" s="124">
        <f>(M.aAS+M.cwAS)*(Molweight*1000)/(VOLUME.aA + VOLUME.cwA)</f>
        <v>2.9441576295634989E-15</v>
      </c>
      <c r="Q15" s="124">
        <f>(M.aTS+M.cwTS)*(Molweight*1000)/(VOLUME.aT + VOLUME.cwT)</f>
        <v>1.5887176322336906E-15</v>
      </c>
      <c r="R15" s="160" t="s">
        <v>137</v>
      </c>
      <c r="S15" s="163"/>
      <c r="T15" s="163"/>
      <c r="U15" s="163"/>
      <c r="V15" s="163"/>
      <c r="W15" s="162"/>
      <c r="X15" s="17"/>
      <c r="Y15" s="156"/>
      <c r="Z15" s="17"/>
      <c r="AA15" s="312" t="s">
        <v>148</v>
      </c>
      <c r="AB15" s="162" t="s">
        <v>112</v>
      </c>
      <c r="AC15" s="161">
        <f>E.w2RD*Molweight</f>
        <v>0</v>
      </c>
      <c r="AD15" s="163">
        <f>(k.w1R.w2R*M.w1R+k.w2C.w2R*M.w2C)*Molweight</f>
        <v>1.8404245988215722</v>
      </c>
      <c r="AE15" s="163">
        <f>k.w2R.w2C*M.w2R*Molweight</f>
        <v>1.8402930157394728</v>
      </c>
      <c r="AF15" s="163"/>
      <c r="AG15" s="163">
        <f>(kdis.w2S.w2D*M.w2RS+kdis.w2A.w2D*M.w2RA+kdis.w2P.w2D*M.w2RP)*Molweight</f>
        <v>5.111769042247307E-8</v>
      </c>
      <c r="AH15" s="162">
        <f>KDEG.w2R*M.w2RD*Molweight</f>
        <v>5.4520644174732348E-15</v>
      </c>
      <c r="AI15" s="163">
        <f>k.aRG.w2RD*M.aRG*Molweight</f>
        <v>3.7294252625729542E-20</v>
      </c>
      <c r="AJ15" s="163">
        <f>k.w2RD.aRG*M.w2R*Molweight</f>
        <v>9.8823457211605387E-21</v>
      </c>
      <c r="AK15" s="163"/>
      <c r="AL15" s="163"/>
      <c r="AM15" s="163"/>
      <c r="AN15" s="163">
        <f>k.w2RD.sd2RD*M.w2R*Molweight</f>
        <v>6.5351352105674256E-3</v>
      </c>
      <c r="AO15" s="162">
        <f>k.sd2RD.w2RD*M.sd2R*Molweight</f>
        <v>6.4035010107833376E-3</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1.6778477359206459E-23</v>
      </c>
      <c r="BW15" s="2"/>
      <c r="BX15" s="137"/>
      <c r="BY15" s="113"/>
      <c r="BZ15" s="113"/>
      <c r="CA15" s="113"/>
      <c r="CB15" s="2"/>
      <c r="CC15" s="137"/>
      <c r="CD15" s="113"/>
      <c r="CE15" s="2"/>
    </row>
    <row r="16" spans="1:83" ht="12.75" customHeight="1" thickBot="1" x14ac:dyDescent="0.35">
      <c r="A16" s="17"/>
      <c r="B16" s="159" t="s">
        <v>150</v>
      </c>
      <c r="C16" s="295">
        <f>(M.aRA+M.cwRA)*Molweight</f>
        <v>29155.35841825129</v>
      </c>
      <c r="D16" s="446">
        <f t="shared" si="0"/>
        <v>4.297599268265835E-6</v>
      </c>
      <c r="E16" s="296">
        <f>(M.aCA+M.cwCA)*Molweight</f>
        <v>125758.6771454909</v>
      </c>
      <c r="F16" s="446">
        <f t="shared" si="1"/>
        <v>1.0422744561055031E-6</v>
      </c>
      <c r="G16" s="296">
        <f>(M.aMA+M.cwMA)*Molweight</f>
        <v>101344.45603882757</v>
      </c>
      <c r="H16" s="446">
        <f t="shared" si="2"/>
        <v>5.2222379245584118E-9</v>
      </c>
      <c r="I16" s="296">
        <f>(M.aAA+M.cwAA)*Molweight</f>
        <v>24353.437662626471</v>
      </c>
      <c r="J16" s="446">
        <f t="shared" si="3"/>
        <v>1.8956436223559881E-9</v>
      </c>
      <c r="K16" s="296">
        <f>(M.aTA+M.cwTA)*Molweight</f>
        <v>42976.758985782784</v>
      </c>
      <c r="L16" s="461">
        <f t="shared" si="4"/>
        <v>8.9796537969724698E-10</v>
      </c>
      <c r="M16" s="124">
        <f>(M.aRA+M.cwRA)*(Molweight*1000)/(VOLUME.aR + VOLUME.cwR)</f>
        <v>1.2699986243086603E-7</v>
      </c>
      <c r="N16" s="124">
        <f>(M.aCA+M.cwCA)*(Molweight*1000)/(VOLUME.aC + VOLUME.cwC)</f>
        <v>1.7468302551724448E-8</v>
      </c>
      <c r="O16" s="124">
        <f>(M.aMA+M.cwMA)*(Molweight*1000)/(VOLUME.aM + VOLUME.cwM)</f>
        <v>1.3064704705901946E-9</v>
      </c>
      <c r="P16" s="124">
        <f>(M.aAA+M.cwAA)*(Molweight*1000)/(VOLUME.aA + VOLUME.cwA)</f>
        <v>5.7302206265008622E-10</v>
      </c>
      <c r="Q16" s="124">
        <f>(M.aTA+M.cwTA)*(Molweight*1000)/(VOLUME.aT + VOLUME.cwT)</f>
        <v>3.3707261949636586E-10</v>
      </c>
      <c r="R16" s="160" t="s">
        <v>137</v>
      </c>
      <c r="S16" s="163"/>
      <c r="T16" s="163"/>
      <c r="U16" s="163"/>
      <c r="V16" s="163"/>
      <c r="W16" s="162"/>
      <c r="X16" s="17"/>
      <c r="Y16" s="156"/>
      <c r="Z16" s="17"/>
      <c r="AA16" s="312" t="s">
        <v>151</v>
      </c>
      <c r="AB16" s="162" t="s">
        <v>113</v>
      </c>
      <c r="AC16" s="161"/>
      <c r="AD16" s="163"/>
      <c r="AE16" s="163"/>
      <c r="AF16" s="163">
        <f>NETsedrate.w1R*SYSTEMAREA.R*AREAFRAC.w1R*C.sd1R*Molweight</f>
        <v>1.0697143927759818E-5</v>
      </c>
      <c r="AG16" s="163">
        <f>(kdis.sd1S.sd1D*M.sd1RS+kdis.sd1A.sd1D*M.sd1RA+kdis.sd1P.sd1D*M.sd1RP)*Molweight</f>
        <v>3.6154309685997457E-6</v>
      </c>
      <c r="AH16" s="162">
        <f>KDEG.sd1R*VOLUME.sd1R*C.sd1R*Molweight</f>
        <v>1.5004621208946126E-17</v>
      </c>
      <c r="AI16" s="163"/>
      <c r="AJ16" s="163"/>
      <c r="AK16" s="163"/>
      <c r="AL16" s="163"/>
      <c r="AM16" s="163"/>
      <c r="AN16" s="163">
        <f>k.w1RD.sd1RD*M.w1R*Molweight</f>
        <v>2.3633414616952415E-4</v>
      </c>
      <c r="AO16" s="162">
        <f>k.sd1RD.w1RD*M.sd1R*Molweight</f>
        <v>2.2925243321034902E-4</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9.8823457211605387E-21</v>
      </c>
      <c r="BR16" s="113"/>
      <c r="BS16" s="113"/>
      <c r="BT16" s="138">
        <f>IF(AJ14&lt;0,"",AJ14)</f>
        <v>2.2278516843432032E-22</v>
      </c>
      <c r="BU16" s="113"/>
      <c r="BV16" s="113"/>
      <c r="BW16" s="2"/>
      <c r="BX16" s="137"/>
      <c r="BY16" s="113"/>
      <c r="BZ16" s="113"/>
      <c r="CA16" s="113"/>
      <c r="CB16" s="2"/>
      <c r="CC16" s="137"/>
      <c r="CD16" s="113"/>
      <c r="CE16" s="2"/>
    </row>
    <row r="17" spans="1:83" ht="12.75" customHeight="1" x14ac:dyDescent="0.3">
      <c r="A17" s="17"/>
      <c r="B17" s="159" t="s">
        <v>152</v>
      </c>
      <c r="C17" s="295">
        <f>(M.aRP+M.cwRP)*Molweight</f>
        <v>18.458355883737198</v>
      </c>
      <c r="D17" s="446">
        <f t="shared" si="0"/>
        <v>2.7208246114265158E-9</v>
      </c>
      <c r="E17" s="296">
        <f>(M.aCP+M.cwCP)*Molweight</f>
        <v>5.507042956663974</v>
      </c>
      <c r="F17" s="446">
        <f t="shared" si="1"/>
        <v>4.5641782600544697E-11</v>
      </c>
      <c r="G17" s="296">
        <f>(M.aMP+M.cwMP)*Molweight</f>
        <v>0.17704386747954964</v>
      </c>
      <c r="H17" s="446">
        <f t="shared" si="2"/>
        <v>9.1229973024668862E-15</v>
      </c>
      <c r="I17" s="296">
        <f>(M.aAP+M.cwAP)*Molweight</f>
        <v>3.7013698518771339E-3</v>
      </c>
      <c r="J17" s="446">
        <f t="shared" si="3"/>
        <v>2.8811037894905977E-16</v>
      </c>
      <c r="K17" s="296">
        <f>(M.aTP+M.cwTP)*Molweight</f>
        <v>1.3270467496074949E-3</v>
      </c>
      <c r="L17" s="461">
        <f t="shared" si="4"/>
        <v>2.7727591994117117E-17</v>
      </c>
      <c r="M17" s="124">
        <f>(M.aRP+M.cwRP)*(Molweight*1000)/(VOLUME.aR + VOLUME.cwR)</f>
        <v>8.0404041833596976E-11</v>
      </c>
      <c r="N17" s="124">
        <f>(M.aCP+M.cwCP)*(Molweight*1000)/(VOLUME.aC + VOLUME.cwC)</f>
        <v>7.6494675926860019E-13</v>
      </c>
      <c r="O17" s="124">
        <f>(M.aMP+M.cwMP)*(Molweight*1000)/(VOLUME.aM + VOLUME.cwM)</f>
        <v>2.2823407801655916E-15</v>
      </c>
      <c r="P17" s="124">
        <f>(M.aAP+M.cwAP)*(Molweight*1000)/(VOLUME.aA + VOLUME.cwA)</f>
        <v>8.7091055338293344E-17</v>
      </c>
      <c r="Q17" s="124">
        <f>(M.aTP+M.cwTP)*(Molweight*1000)/(VOLUME.aT + VOLUME.cwT)</f>
        <v>1.0408209800844034E-17</v>
      </c>
      <c r="R17" s="160" t="s">
        <v>137</v>
      </c>
      <c r="S17" s="163"/>
      <c r="T17" s="163"/>
      <c r="U17" s="163"/>
      <c r="V17" s="163"/>
      <c r="W17" s="162"/>
      <c r="X17" s="17"/>
      <c r="Y17" s="156"/>
      <c r="Z17" s="17"/>
      <c r="AA17" s="312" t="s">
        <v>153</v>
      </c>
      <c r="AB17" s="162" t="s">
        <v>114</v>
      </c>
      <c r="AC17" s="161"/>
      <c r="AD17" s="163"/>
      <c r="AE17" s="163"/>
      <c r="AF17" s="163">
        <f>NETsedrate.w2R*SYSTEMAREA.R*AREAFRAC.w2R*C.sd2R*Molweight</f>
        <v>1.3178704045975476E-4</v>
      </c>
      <c r="AG17" s="163">
        <f>(kdis.sd2S.sd2D*M.sd2RS+kdis.sd2A.sd2D*M.sd2RA+kdis.sd2P.sd2D*M.sd2RP)*Molweight</f>
        <v>1.5284067625310409E-7</v>
      </c>
      <c r="AH17" s="162">
        <f>KDEG.sd2R*VOLUME.sd2R*C.sd2R*Molweight</f>
        <v>5.8539391167535076E-16</v>
      </c>
      <c r="AI17" s="163"/>
      <c r="AJ17" s="163"/>
      <c r="AK17" s="163"/>
      <c r="AL17" s="163"/>
      <c r="AM17" s="163"/>
      <c r="AN17" s="163">
        <f>k.w2RD.sd2RD*M.w2R*Molweight</f>
        <v>6.5351352105674256E-3</v>
      </c>
      <c r="AO17" s="162">
        <f>k.sd2RD.w2RD*M.sd2R*Molweight</f>
        <v>6.4035010107833376E-3</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3.9048175044381436E-8</v>
      </c>
      <c r="AG18" s="163">
        <f>(kdis.s1S.s1D*M.s1RS+kdis.s1A.s1D*M.s1RA+kdis.s1P.s1D*M.s1RP)*Molweight</f>
        <v>5.8643140951002623E-6</v>
      </c>
      <c r="AH18" s="162">
        <f>KDEG.s1R*VOLUME.s1R*C.s1R*Molweight</f>
        <v>5.0398841664170039E-18</v>
      </c>
      <c r="AI18" s="163"/>
      <c r="AJ18" s="163"/>
      <c r="AK18" s="163">
        <f>k.aRG.s1RD*M.aR*Molweight</f>
        <v>2.3015737771182336E-18</v>
      </c>
      <c r="AL18" s="163">
        <f>k.s1RD.aRG*M.s1R*Molweight</f>
        <v>1.2376221809443293E-23</v>
      </c>
      <c r="AM18" s="163">
        <f>k.s1RD.w1RD*M.s1R*Molweight</f>
        <v>5.3398270933820466E-6</v>
      </c>
      <c r="AN18" s="163"/>
      <c r="AO18" s="162"/>
      <c r="AP18" s="909">
        <f>SUM(AC18,AD18,AK18,AG18)-SUM(AE18,AF18,AH18,AL18,AM18,AP17)</f>
        <v>4.8543882667109538E-7</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7981243.9615635173</v>
      </c>
      <c r="D19" s="446">
        <f t="shared" ref="D19:D25" si="5">C19/$C$103</f>
        <v>1.1764625808062276E-3</v>
      </c>
      <c r="E19" s="295">
        <f>SUM(E20,E23:E25)</f>
        <v>871223.88877754938</v>
      </c>
      <c r="F19" s="446">
        <f t="shared" ref="F19:F25" si="6">E19/$E$103</f>
        <v>7.2206103422287789E-6</v>
      </c>
      <c r="G19" s="296"/>
      <c r="H19" s="446"/>
      <c r="I19" s="296"/>
      <c r="J19" s="446"/>
      <c r="K19" s="296"/>
      <c r="L19" s="461"/>
      <c r="M19" s="459">
        <f>(M.w0RD+M.w0RS+M.w0RA+M.w0RP)*Molweight/(VOLUME.w0R)</f>
        <v>1.3967264228137582E-4</v>
      </c>
      <c r="N19" s="459">
        <f>(M.w0CD+M.w0CS+M.w0CA+M.w0CP)*Molweight/(VOLUME.w0C)</f>
        <v>9.9972906246706615E-7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4.4243986949923364E-6</v>
      </c>
      <c r="AG19" s="163">
        <f>(kdis.s2S.s2D*M.s2RS+kdis.s2A.s2D*M.s2RA+kdis.s2P.s2D*M.s2RP)*Molweight</f>
        <v>6.6446289999298638E-4</v>
      </c>
      <c r="AH19" s="162">
        <f>KDEG.s2R*VOLUME.s2R*C.s2R*Molweight</f>
        <v>1.2549051730141085E-15</v>
      </c>
      <c r="AI19" s="163"/>
      <c r="AJ19" s="163"/>
      <c r="AK19" s="163">
        <f>k.aRG.s2RD*M.aR*Molweight</f>
        <v>5.114608393596074E-18</v>
      </c>
      <c r="AL19" s="163">
        <f>k.s2RD.aRG*M.s2R*Molweight</f>
        <v>1.4023021449888614E-21</v>
      </c>
      <c r="AM19" s="163">
        <f>k.s2RD.w1RD*M.s2R*Molweight</f>
        <v>6.050352928553491E-4</v>
      </c>
      <c r="AN19" s="163"/>
      <c r="AO19" s="162"/>
      <c r="AP19" s="909">
        <f>SUM(AC19,AD19,AK19,AG19)-SUM(AE19,AF19,AH19,AL19,AM19,AP18)</f>
        <v>5.4517769614723967E-5</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6.1235283368702082E-4</v>
      </c>
      <c r="BU19" s="137"/>
      <c r="BV19" s="140"/>
      <c r="BW19" s="113"/>
      <c r="BX19" s="2"/>
      <c r="BY19" s="113"/>
      <c r="BZ19" s="140"/>
      <c r="CA19" s="137"/>
      <c r="CB19" s="2"/>
      <c r="CC19" s="2"/>
      <c r="CD19" s="78"/>
      <c r="CE19" s="2"/>
    </row>
    <row r="20" spans="1:83" ht="12.75" customHeight="1" x14ac:dyDescent="0.3">
      <c r="A20" s="17"/>
      <c r="B20" s="443" t="s">
        <v>140</v>
      </c>
      <c r="C20" s="295">
        <f>M.w0RD*Molweight</f>
        <v>22798.680881195385</v>
      </c>
      <c r="D20" s="446">
        <f t="shared" si="5"/>
        <v>3.3606033191866449E-6</v>
      </c>
      <c r="E20" s="295">
        <f>M.w0CD*Molweight</f>
        <v>141.73645426252972</v>
      </c>
      <c r="F20" s="446">
        <f t="shared" si="6"/>
        <v>1.1746965627341405E-9</v>
      </c>
      <c r="G20" s="296"/>
      <c r="H20" s="446"/>
      <c r="I20" s="296"/>
      <c r="J20" s="446"/>
      <c r="K20" s="296"/>
      <c r="L20" s="461"/>
      <c r="M20" s="124">
        <f>C.w0R*Molweight</f>
        <v>3.9897940904222577E-7</v>
      </c>
      <c r="N20" s="124">
        <f>C.w0C*Molweight</f>
        <v>1.6264252434136933E-10</v>
      </c>
      <c r="O20" s="124"/>
      <c r="P20" s="124"/>
      <c r="Q20" s="124"/>
      <c r="R20" s="160" t="s">
        <v>158</v>
      </c>
      <c r="S20" s="163">
        <f>F.w0R</f>
        <v>2.2574345863457279E-25</v>
      </c>
      <c r="T20" s="163">
        <f>F.w0C</f>
        <v>9.2023510822315748E-29</v>
      </c>
      <c r="U20" s="163"/>
      <c r="V20" s="163"/>
      <c r="W20" s="162"/>
      <c r="X20" s="17"/>
      <c r="Y20" s="156"/>
      <c r="Z20" s="17"/>
      <c r="AA20" s="312" t="s">
        <v>160</v>
      </c>
      <c r="AB20" s="162" t="s">
        <v>117</v>
      </c>
      <c r="AC20" s="161">
        <f>E.s3RD*Molweight</f>
        <v>0</v>
      </c>
      <c r="AD20" s="163"/>
      <c r="AE20" s="163"/>
      <c r="AF20" s="163">
        <f>(FRACinf.s3R*RAINrate.R/Ks3w.R*SYSTEMAREA.R*AREAFRAC.s3R*CORRleach.s3R)*C.s3R*Molweight</f>
        <v>1.4462287053474604E-8</v>
      </c>
      <c r="AG20" s="163">
        <f>(kdis.s3S.s3D*M.s3RS+kdis.s3A.s3D*M.s3RA+kdis.s3P.s3D*M.s3RP)*Molweight</f>
        <v>2.1719681833704677E-6</v>
      </c>
      <c r="AH20" s="162">
        <f>KDEG.s3R*VOLUME.s3R*C.s3R*Molweight</f>
        <v>1.8666237653396311E-18</v>
      </c>
      <c r="AI20" s="163"/>
      <c r="AJ20" s="163"/>
      <c r="AK20" s="163">
        <f>k.aRG.s3RD*M.aR*Molweight</f>
        <v>8.5243473226601229E-19</v>
      </c>
      <c r="AL20" s="163">
        <f>k.s3RD.aRG*M.s3R*Molweight</f>
        <v>4.5837858553493676E-24</v>
      </c>
      <c r="AM20" s="163">
        <f>k.s3RD.w1RD*M.s3R*Molweight</f>
        <v>1.9777137382896469E-6</v>
      </c>
      <c r="AN20" s="163"/>
      <c r="AO20" s="162"/>
      <c r="AP20" s="909">
        <f>SUM(AC20,AD20,AK20,AG20)-SUM(AE20,AF20,AH20,AL20,AM20,AP19)</f>
        <v>-5.4337977456697632E-5</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3.7294252625729542E-20</v>
      </c>
      <c r="BR20" s="113"/>
      <c r="BS20" s="113"/>
      <c r="BT20" s="138">
        <f>IF(AI14&lt;0,"",AI14)</f>
        <v>2.3441955137323231E-19</v>
      </c>
      <c r="BU20" s="137"/>
      <c r="BV20" s="136">
        <f>IF(AI13&lt;0,"",AI13)</f>
        <v>2.1310868306657481E-20</v>
      </c>
      <c r="BW20" s="114"/>
      <c r="BX20" s="299">
        <f>IF(AK18&lt;0,"",AK18)</f>
        <v>2.3015737771182336E-18</v>
      </c>
      <c r="BY20" s="113"/>
      <c r="BZ20" s="138">
        <f>IF(AK20&lt;0,"",AK20)</f>
        <v>8.5243473226601229E-19</v>
      </c>
      <c r="CA20" s="137"/>
      <c r="CB20" s="136">
        <f>IF(AK19&lt;0,"",AK19)</f>
        <v>5.114608393596074E-18</v>
      </c>
      <c r="CC20" s="140"/>
      <c r="CD20" s="2"/>
      <c r="CE20" s="2"/>
    </row>
    <row r="21" spans="1:83" ht="12.75" customHeight="1" thickBot="1" x14ac:dyDescent="0.35">
      <c r="A21" s="17"/>
      <c r="B21" s="159" t="s">
        <v>161</v>
      </c>
      <c r="C21" s="295">
        <f>FRwD.w0R*C20</f>
        <v>22792.526898932669</v>
      </c>
      <c r="D21" s="446">
        <f t="shared" si="5"/>
        <v>3.3596962012123167E-6</v>
      </c>
      <c r="E21" s="295">
        <f>FRw.w0C*E20</f>
        <v>141.69819574967727</v>
      </c>
      <c r="F21" s="446">
        <f t="shared" si="6"/>
        <v>1.174379480274466E-9</v>
      </c>
      <c r="G21" s="296"/>
      <c r="H21" s="446"/>
      <c r="I21" s="296"/>
      <c r="J21" s="446"/>
      <c r="K21" s="296"/>
      <c r="L21" s="461"/>
      <c r="M21" s="124">
        <f>M20*FRwD.w0R</f>
        <v>3.9887171367953223E-7</v>
      </c>
      <c r="N21" s="124">
        <f>N20*FRw.w0C</f>
        <v>1.6259862271323672E-10</v>
      </c>
      <c r="O21" s="124"/>
      <c r="P21" s="124"/>
      <c r="Q21" s="124"/>
      <c r="R21" s="160" t="s">
        <v>158</v>
      </c>
      <c r="S21" s="163">
        <f>S20*FRwD.w0R</f>
        <v>2.2568252435299742E-25</v>
      </c>
      <c r="T21" s="163">
        <f>T20*FRw.w0C</f>
        <v>9.199867118109683E-29</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5.4654371975468387E-5</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6.1539822627162639</v>
      </c>
      <c r="D22" s="446">
        <f t="shared" si="5"/>
        <v>9.0711797432798052E-10</v>
      </c>
      <c r="E22" s="295">
        <f>(1-FRw.w0C)*E20</f>
        <v>3.8258512852440488E-2</v>
      </c>
      <c r="F22" s="446">
        <f t="shared" si="6"/>
        <v>3.1708245967433478E-13</v>
      </c>
      <c r="G22" s="296"/>
      <c r="H22" s="446"/>
      <c r="I22" s="296"/>
      <c r="J22" s="446"/>
      <c r="K22" s="296"/>
      <c r="L22" s="461"/>
      <c r="M22" s="124">
        <f>M21*Kp.susp1R</f>
        <v>3.988717136795322E-5</v>
      </c>
      <c r="N22" s="124">
        <f>N21*Kp.susp1C</f>
        <v>1.6259862271323672E-8</v>
      </c>
      <c r="O22" s="124"/>
      <c r="P22" s="124"/>
      <c r="Q22" s="124"/>
      <c r="R22" s="160" t="s">
        <v>164</v>
      </c>
      <c r="S22" s="163">
        <f>S20*(1-FRwD.w0R)</f>
        <v>6.0934281575353295E-29</v>
      </c>
      <c r="T22" s="163">
        <f>T20*(1-FRw.w0C)</f>
        <v>2.4839641218914079E-32</v>
      </c>
      <c r="U22" s="163"/>
      <c r="V22" s="163"/>
      <c r="W22" s="162"/>
      <c r="X22" s="17"/>
      <c r="Y22" s="156"/>
      <c r="Z22" s="17"/>
      <c r="AA22" s="312" t="s">
        <v>141</v>
      </c>
      <c r="AB22" s="162" t="s">
        <v>118</v>
      </c>
      <c r="AC22" s="161">
        <f>E.aCG*Molweight</f>
        <v>0</v>
      </c>
      <c r="AD22" s="163">
        <f>(k.aR.aC*M.aR+k.aM.aC*M.aM)*Molweight</f>
        <v>5.9978058206227484E-16</v>
      </c>
      <c r="AE22" s="163">
        <f>(k.aC.aM+k.aC.aR)*M.aC*Molweight</f>
        <v>1.136650974093181E-16</v>
      </c>
      <c r="AF22" s="163">
        <f>kesc.aC*VOLUME.aC*C.aC*Molweight</f>
        <v>2.4752741652414545E-20</v>
      </c>
      <c r="AG22" s="163"/>
      <c r="AH22" s="162">
        <f>KDEG.aC*VOLUME.aC*C.aC*Molweight</f>
        <v>2.5733236935667497E-43</v>
      </c>
      <c r="AI22" s="163">
        <f>SUM(AI23:AI25,AK28:AK30)</f>
        <v>5.2685368496555744E-16</v>
      </c>
      <c r="AJ22" s="163">
        <f>SUM(AJ23:AJ25,AL28:AL30)</f>
        <v>4.076295305425305E-17</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6.6068592223611771E-4</v>
      </c>
      <c r="BO22" s="113"/>
      <c r="BP22" s="113"/>
      <c r="BQ22" s="137"/>
      <c r="BR22" s="113"/>
      <c r="BS22" s="130">
        <f>AD14</f>
        <v>5.4654371975468387E-5</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1.4335981606660482</v>
      </c>
      <c r="D23" s="446">
        <f t="shared" si="5"/>
        <v>2.1131725831944646E-10</v>
      </c>
      <c r="E23" s="295">
        <f>M.w0CS*Molweight</f>
        <v>0.11122061102540157</v>
      </c>
      <c r="F23" s="446">
        <f t="shared" si="6"/>
        <v>9.2178452012588259E-13</v>
      </c>
      <c r="G23" s="296"/>
      <c r="H23" s="446"/>
      <c r="I23" s="296"/>
      <c r="J23" s="446"/>
      <c r="K23" s="296"/>
      <c r="L23" s="461"/>
      <c r="M23" s="124">
        <f>C.w0RS*Molweight</f>
        <v>2.5088124612434671E-11</v>
      </c>
      <c r="N23" s="124">
        <f>C.w0CS*Molweight</f>
        <v>1.2762560648268604E-13</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3.3977917117729728E-7</v>
      </c>
      <c r="AF23" s="163"/>
      <c r="AG23" s="163">
        <f>(kdis.w0S.w0D*M.w0CS+kdis.w0A.w0D*M.w0CA+kdis.w0P.w0D*M.w0CP)*Molweight</f>
        <v>8.7108215232328684E-8</v>
      </c>
      <c r="AH23" s="162">
        <f>KDEG.w0C*VOLUME.w0C*C.w0C*Molweight</f>
        <v>5.7547349528515158E-19</v>
      </c>
      <c r="AI23" s="163">
        <f>k.aC.w0C*M.aC*Molweight</f>
        <v>6.3774964378254485E-19</v>
      </c>
      <c r="AJ23" s="163">
        <f>k.w0C.aC*M.w0C*Molweight</f>
        <v>1.0430962656175246E-25</v>
      </c>
      <c r="AK23" s="163"/>
      <c r="AL23" s="163"/>
      <c r="AM23" s="163"/>
      <c r="AN23" s="163">
        <f>k.w0C.sd0C*M.w0CD*Molweight</f>
        <v>1.1251988994926683E-8</v>
      </c>
      <c r="AO23" s="162">
        <f>k.sd0C.w0C*M.sd0CD*Molweight</f>
        <v>0</v>
      </c>
      <c r="AP23" s="909">
        <f>SUM(AC23,AD23,AI23,AM23,AO23,AG23)-SUM(AF23,AE23,AH23,AJ23,AN23)</f>
        <v>-2.6392294493983301E-7</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1.8402930157394728</v>
      </c>
      <c r="BO23" s="132"/>
      <c r="BP23" s="130">
        <f>AD15</f>
        <v>1.8404245988215722</v>
      </c>
      <c r="BQ23" s="301"/>
      <c r="BR23" s="134"/>
      <c r="BS23" s="135"/>
      <c r="BT23" s="55">
        <f>AH14</f>
        <v>3.687299930098672E-17</v>
      </c>
      <c r="BU23" s="113"/>
      <c r="BV23" s="940">
        <f>AH13</f>
        <v>9.2566422963360092E-17</v>
      </c>
      <c r="BW23" s="113"/>
      <c r="BX23" s="137"/>
      <c r="BY23" s="113"/>
      <c r="BZ23" s="2"/>
      <c r="CA23" s="113"/>
      <c r="CB23" s="2"/>
      <c r="CC23" s="141"/>
      <c r="CD23" s="113"/>
      <c r="CE23" s="2"/>
    </row>
    <row r="24" spans="1:83" ht="12.75" customHeight="1" thickBot="1" x14ac:dyDescent="0.4">
      <c r="A24" s="17"/>
      <c r="B24" s="159" t="s">
        <v>150</v>
      </c>
      <c r="C24" s="295">
        <f>M.w0RA*Molweight</f>
        <v>7937358.5873682294</v>
      </c>
      <c r="D24" s="446">
        <f t="shared" si="5"/>
        <v>1.1699937269741589E-3</v>
      </c>
      <c r="E24" s="295">
        <f>M.w0CA*Molweight</f>
        <v>870957.93486332381</v>
      </c>
      <c r="F24" s="446">
        <f t="shared" si="6"/>
        <v>7.2184061446529892E-6</v>
      </c>
      <c r="G24" s="296"/>
      <c r="H24" s="446"/>
      <c r="I24" s="296"/>
      <c r="J24" s="446"/>
      <c r="K24" s="296"/>
      <c r="L24" s="461"/>
      <c r="M24" s="124">
        <f>C.w0RA*Molweight</f>
        <v>1.3890464343296546E-4</v>
      </c>
      <c r="N24" s="124">
        <f>C.w0CA*Molweight</f>
        <v>9.9942388045730603E-7</v>
      </c>
      <c r="O24" s="124"/>
      <c r="P24" s="124"/>
      <c r="Q24" s="124"/>
      <c r="R24" s="160" t="s">
        <v>158</v>
      </c>
      <c r="S24" s="163"/>
      <c r="T24" s="163"/>
      <c r="U24" s="163"/>
      <c r="V24" s="163"/>
      <c r="W24" s="162"/>
      <c r="X24" s="17"/>
      <c r="Y24" s="156"/>
      <c r="Z24" s="17"/>
      <c r="AA24" s="312" t="s">
        <v>146</v>
      </c>
      <c r="AB24" s="162" t="s">
        <v>119</v>
      </c>
      <c r="AC24" s="161">
        <f>E.w1CD*Molweight</f>
        <v>0</v>
      </c>
      <c r="AD24" s="163">
        <f>k.w0C.w1C*M.w0C*Molweight</f>
        <v>3.3977917117729728E-7</v>
      </c>
      <c r="AE24" s="163">
        <f>(k.w1C.w0C+k.w1C.w1R+k.w1C.w2C)*M.w1C*Molweight</f>
        <v>3.2653744464186091E-6</v>
      </c>
      <c r="AF24" s="163"/>
      <c r="AG24" s="163">
        <f>(kdis.w1S.w1D*M.w1CS+kdis.w1A.w1D*M.w1CA+kdis.w1P.w1D*M.w1CP)*Molweight</f>
        <v>4.0109713670920303E-8</v>
      </c>
      <c r="AH24" s="162">
        <f>KDEG.w1C*VOLUME.w1C*C.w1C*Molweight</f>
        <v>1.8224113096392401E-19</v>
      </c>
      <c r="AI24" s="163">
        <f>k.aC.w1C*M.aC*Molweight</f>
        <v>7.015246081607992E-18</v>
      </c>
      <c r="AJ24" s="163">
        <f>k.w1C.aC*M.w1C*Molweight</f>
        <v>1.1010935325885561E-24</v>
      </c>
      <c r="AK24" s="163"/>
      <c r="AL24" s="163"/>
      <c r="AM24" s="163">
        <f>(k.s1C.w1C*M.s1C+k.s2C.w1C*M.s2C+k.s3C.w1C*M.s3C)*Molweight</f>
        <v>2.903152394338163E-6</v>
      </c>
      <c r="AN24" s="163">
        <f>k.w1C.sd1C*M.w1C*Molweight</f>
        <v>1.168058007208946E-6</v>
      </c>
      <c r="AO24" s="162">
        <f>k.sd1C.w1C*M.sd1C*Molweight</f>
        <v>1.1503911744343405E-6</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21085.259715931847</v>
      </c>
      <c r="D25" s="446">
        <f t="shared" si="5"/>
        <v>3.1080391956237476E-6</v>
      </c>
      <c r="E25" s="295">
        <f>M.w0CP*Molweight</f>
        <v>124.10623935205817</v>
      </c>
      <c r="F25" s="446">
        <f t="shared" si="6"/>
        <v>1.0285792285355934E-9</v>
      </c>
      <c r="G25" s="296"/>
      <c r="H25" s="446"/>
      <c r="I25" s="296"/>
      <c r="J25" s="446"/>
      <c r="K25" s="296"/>
      <c r="L25" s="461"/>
      <c r="M25" s="124">
        <f>C.w0RP*Molweight</f>
        <v>3.6899435124350257E-7</v>
      </c>
      <c r="N25" s="124">
        <f>C.w0CP*Molweight</f>
        <v>1.4241185981233582E-10</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3514.658876067062</v>
      </c>
      <c r="AE25" s="163">
        <f>(k.w2C.w2M+k.w2C.w2R)*M.w2C*Molweight</f>
        <v>3514.1167807597244</v>
      </c>
      <c r="AF25" s="163"/>
      <c r="AG25" s="163">
        <f>(kdis.w2S.w2D*M.w2CS+kdis.w2A.w2D*M.w2CA+kdis.w2P.w2D*M.w2CP)*Molweight</f>
        <v>8.9722119953003043E-4</v>
      </c>
      <c r="AH25" s="162">
        <f>KDEG.w2C*VOLUME.w2C*C.w2C*Molweight</f>
        <v>4.4977621490239001E-10</v>
      </c>
      <c r="AI25" s="163">
        <f>k.aC.w2C*M.aC*Molweight</f>
        <v>2.7175382745261281E-16</v>
      </c>
      <c r="AJ25" s="163">
        <f>k.w2C.aC*M.w2C*Molweight</f>
        <v>4.0762945120156743E-17</v>
      </c>
      <c r="AK25" s="163"/>
      <c r="AL25" s="163"/>
      <c r="AM25" s="163"/>
      <c r="AN25" s="163">
        <f>k.w2C.sd2C*M.w2C*Molweight</f>
        <v>26.956288057273117</v>
      </c>
      <c r="AO25" s="162">
        <f>k.sd2C.w2C*M.sd2C*Molweight</f>
        <v>26.413295529184314</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5.3268315255024682E-8</v>
      </c>
      <c r="AG26" s="163">
        <f>(kdis.sd1S.sd1D*M.sd1CS+kdis.sd1A.sd1D*M.sd1CA+kdis.sd1P.sd1D*M.sd1CP)*Molweight</f>
        <v>3.5601482480494438E-8</v>
      </c>
      <c r="AH26" s="162">
        <f>KDEG.sd1C*VOLUME.sd1C*C.sd1C*Molweight</f>
        <v>7.5267708002449128E-20</v>
      </c>
      <c r="AI26" s="163"/>
      <c r="AJ26" s="163"/>
      <c r="AK26" s="163"/>
      <c r="AL26" s="163"/>
      <c r="AM26" s="163"/>
      <c r="AN26" s="163">
        <f>k.w1C.sd1C*M.w1C*Molweight</f>
        <v>1.168058007208946E-6</v>
      </c>
      <c r="AO26" s="162">
        <f>k.sd1C.w1C*M.sd1C*Molweight</f>
        <v>1.1503911744343405E-6</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2.2925243321034902E-4</v>
      </c>
      <c r="BT26" s="82">
        <f>IF(ISERROR(D36),0,D36)</f>
        <v>1.3406065490735966E-6</v>
      </c>
      <c r="BU26" s="113"/>
      <c r="BV26" s="82">
        <f>IF(ISERROR(F36),0,D20)</f>
        <v>3.3606033191866449E-6</v>
      </c>
      <c r="BW26" s="2"/>
      <c r="BX26" s="76" t="s">
        <v>171</v>
      </c>
      <c r="BY26" s="42"/>
      <c r="BZ26" s="76" t="s">
        <v>172</v>
      </c>
      <c r="CA26" s="113"/>
      <c r="CB26" s="113"/>
      <c r="CC26" s="76" t="s">
        <v>173</v>
      </c>
      <c r="CD26" s="94"/>
      <c r="CE26" s="2"/>
    </row>
    <row r="27" spans="1:83" ht="12.75" customHeight="1" x14ac:dyDescent="0.35">
      <c r="A27" s="17"/>
      <c r="B27" s="104" t="s">
        <v>174</v>
      </c>
      <c r="C27" s="295">
        <f>SUM(C28,C31:C33)</f>
        <v>3487212.597155815</v>
      </c>
      <c r="D27" s="446">
        <f t="shared" ref="D27:D33" si="7">C27/$C$103</f>
        <v>5.1402703032601299E-4</v>
      </c>
      <c r="E27" s="295">
        <f>SUM(E28,E31:E33)</f>
        <v>161351.84205348525</v>
      </c>
      <c r="F27" s="446">
        <f t="shared" ref="F27:F33" si="8">E27/$E$103</f>
        <v>1.3372667972911102E-6</v>
      </c>
      <c r="G27" s="296"/>
      <c r="H27" s="446"/>
      <c r="I27" s="296"/>
      <c r="J27" s="446"/>
      <c r="K27" s="296"/>
      <c r="L27" s="461"/>
      <c r="M27" s="459">
        <f>((M.sd0RD+M.sd0RS+M.sd0RA+M.sd0RP)*Molweight*1000/(VOLUME.sd0R))/(FRACw.sdR*1000+FRACs.sdR*RHOsolid)</f>
        <v>0.15647846632432932</v>
      </c>
      <c r="N27" s="459">
        <f>((M.sd0CD+M.sd0CS+M.sd0CA+M.sd0CP)*Molweight*1000/(VOLUME.sd0C))/(FRACw.sdC*1000+FRACs.sdC*RHOsolid)</f>
        <v>4.7474659988067547E-4</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0.5430155021201778</v>
      </c>
      <c r="AG27" s="163">
        <f>(kdis.sd2S.sd2D*M.sd2CS+kdis.sd2A.sd2D*M.sd2CA+kdis.sd2P.sd2D*M.sd2CP)*Molweight</f>
        <v>2.2974033794511633E-5</v>
      </c>
      <c r="AH27" s="162">
        <f>KDEG.sd2C*VOLUME.sd2C*C.sd2C*Molweight</f>
        <v>2.4145929353414171E-12</v>
      </c>
      <c r="AI27" s="163"/>
      <c r="AJ27" s="163"/>
      <c r="AK27" s="163"/>
      <c r="AL27" s="163"/>
      <c r="AM27" s="163"/>
      <c r="AN27" s="163">
        <f>k.w2C.sd2C*M.w2C*Molweight</f>
        <v>26.956288057273117</v>
      </c>
      <c r="AO27" s="162">
        <f>k.sd2C.w2C*M.sd2C*Molweight</f>
        <v>26.413295529184314</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1.8292248038107271E-7</v>
      </c>
      <c r="BY27" s="42"/>
      <c r="BZ27" s="96">
        <f>IF(ISERROR(D92),0,D92)</f>
        <v>6.7749066807804702E-8</v>
      </c>
      <c r="CA27" s="113"/>
      <c r="CB27" s="113"/>
      <c r="CC27" s="96">
        <f>IF(ISERROR(D84),0,D84)</f>
        <v>4.5546754510823158E-5</v>
      </c>
      <c r="CD27" s="2"/>
      <c r="CE27" s="2"/>
    </row>
    <row r="28" spans="1:83" ht="12.75" customHeight="1" x14ac:dyDescent="0.3">
      <c r="A28" s="17"/>
      <c r="B28" s="443" t="s">
        <v>140</v>
      </c>
      <c r="C28" s="295">
        <f>M.sd0RD*Molweight</f>
        <v>745.52129299053922</v>
      </c>
      <c r="D28" s="446">
        <f t="shared" si="7"/>
        <v>1.0989238126556739E-7</v>
      </c>
      <c r="E28" s="295">
        <f>M.sd0CD*Molweight</f>
        <v>9.528199090408167</v>
      </c>
      <c r="F28" s="446">
        <f t="shared" si="8"/>
        <v>7.8968694248675135E-11</v>
      </c>
      <c r="G28" s="296"/>
      <c r="H28" s="446"/>
      <c r="I28" s="296"/>
      <c r="J28" s="446"/>
      <c r="K28" s="296"/>
      <c r="L28" s="461"/>
      <c r="M28" s="124">
        <f>C.sd0RD*(Molweight*1000)/(FRACw.sdR*1000+FRACs.sdR*RHOsolid)</f>
        <v>3.3453087613424341E-5</v>
      </c>
      <c r="N28" s="124">
        <f>C.sd0CD*(Molweight*1000)/(FRACw.sdC*1000+FRACs.sdC*RHOsolid)</f>
        <v>2.8034883665337824E-8</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3.4076079184376988E-9</v>
      </c>
      <c r="AG28" s="163">
        <f>(kdis.s1S.s1D*M.s1CS+kdis.s1A.s1D*M.s1CA+kdis.s1P.s1D*M.s1CP)*Molweight</f>
        <v>5.1175972042931972E-7</v>
      </c>
      <c r="AH28" s="162">
        <f>KDEG.s1C*VOLUME.s1C*C.s1C*Molweight</f>
        <v>4.3981438758589304E-19</v>
      </c>
      <c r="AI28" s="163"/>
      <c r="AJ28" s="163"/>
      <c r="AK28" s="163">
        <f>k.aC.s1C*M.aC*Molweight</f>
        <v>6.8876961528494452E-17</v>
      </c>
      <c r="AL28" s="163">
        <f>k.s1C.aC*M.s1C*Molweight</f>
        <v>1.0800328412343703E-24</v>
      </c>
      <c r="AM28" s="163">
        <f>k.s1C.w1C*M.s1C*Molweight</f>
        <v>4.6598943653104278E-7</v>
      </c>
      <c r="AN28" s="163"/>
      <c r="AO28" s="162"/>
      <c r="AP28" s="909">
        <f>SUM(AC28,AD28,AK28,AG28)-SUM(AE28,AF28,AH28,AL28,AM28,AP27)</f>
        <v>4.2362676048276467E-8</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2.3633414616952415E-4</v>
      </c>
      <c r="BT28" s="22">
        <f>AH16</f>
        <v>1.5004621208946126E-17</v>
      </c>
      <c r="BU28" s="113"/>
      <c r="BV28" s="113"/>
      <c r="BW28" s="113"/>
      <c r="BX28" s="2"/>
      <c r="BY28" s="42"/>
      <c r="BZ28" s="113"/>
      <c r="CA28" s="113"/>
      <c r="CB28" s="113"/>
      <c r="CC28" s="113"/>
      <c r="CD28" s="2"/>
      <c r="CE28" s="2"/>
    </row>
    <row r="29" spans="1:83" ht="12.75" customHeight="1" thickBot="1" x14ac:dyDescent="0.4">
      <c r="A29" s="17"/>
      <c r="B29" s="159" t="s">
        <v>178</v>
      </c>
      <c r="C29" s="295">
        <f>C28*FRACw.sdR</f>
        <v>596.41703439243145</v>
      </c>
      <c r="D29" s="446">
        <f t="shared" si="7"/>
        <v>8.7913905012453927E-8</v>
      </c>
      <c r="E29" s="295">
        <f>E28*FRACw.sdC</f>
        <v>7.6225592723265336</v>
      </c>
      <c r="F29" s="446">
        <f t="shared" si="8"/>
        <v>6.3174955398940108E-11</v>
      </c>
      <c r="G29" s="296"/>
      <c r="H29" s="446"/>
      <c r="I29" s="296"/>
      <c r="J29" s="446"/>
      <c r="K29" s="296"/>
      <c r="L29" s="461"/>
      <c r="M29" s="124">
        <f>M30/Kp.sd0R</f>
        <v>1.6856206936996766E-3</v>
      </c>
      <c r="N29" s="124">
        <f>N30/Kp.sd0C</f>
        <v>1.412610417245705E-6</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1.6559991783765669E-8</v>
      </c>
      <c r="AG29" s="163">
        <f>(kdis.s2S.s2D*M.s2CS+kdis.s2A.s2D*M.s2CA+kdis.s2P.s2D*M.s2CP)*Molweight</f>
        <v>2.4870046581195166E-6</v>
      </c>
      <c r="AH29" s="162">
        <f>KDEG.s2C*VOLUME.s2C*C.s2C*Molweight</f>
        <v>4.6969590190955127E-18</v>
      </c>
      <c r="AI29" s="163"/>
      <c r="AJ29" s="163"/>
      <c r="AK29" s="163">
        <f>k.aC.s2C*M.aC*Molweight</f>
        <v>1.530599145077654E-16</v>
      </c>
      <c r="AL29" s="163">
        <f>k.s2C.aC*M.s2C*Molweight</f>
        <v>5.2486481441322147E-24</v>
      </c>
      <c r="AM29" s="163">
        <f>k.s2C.w1C*M.s2C*Molweight</f>
        <v>2.2645742776104381E-6</v>
      </c>
      <c r="AN29" s="163"/>
      <c r="AO29" s="162"/>
      <c r="AP29" s="909">
        <f>SUM(AC29,AD29,AK29,AG29)-SUM(AE29,AF29,AH29,AL29,AM29,AP28)</f>
        <v>1.6350771282539954E-7</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5.0398841664170039E-18</v>
      </c>
      <c r="BY29" s="42"/>
      <c r="BZ29" s="55">
        <f>AH20</f>
        <v>1.8666237653396311E-18</v>
      </c>
      <c r="CA29" s="2"/>
      <c r="CB29" s="113"/>
      <c r="CC29" s="22">
        <f>AH19</f>
        <v>1.2549051730141085E-15</v>
      </c>
      <c r="CD29" s="2"/>
      <c r="CE29" s="2"/>
    </row>
    <row r="30" spans="1:83" ht="12.75" customHeight="1" x14ac:dyDescent="0.3">
      <c r="A30" s="17"/>
      <c r="B30" s="159" t="s">
        <v>179</v>
      </c>
      <c r="C30" s="295">
        <f>C28*FRACs.sdR</f>
        <v>149.1042585981078</v>
      </c>
      <c r="D30" s="446">
        <f t="shared" si="7"/>
        <v>2.1978476253113472E-8</v>
      </c>
      <c r="E30" s="295">
        <f>E28*FRACs.sdC</f>
        <v>1.905639818081633</v>
      </c>
      <c r="F30" s="446">
        <f t="shared" si="8"/>
        <v>1.5793738849735024E-11</v>
      </c>
      <c r="G30" s="296"/>
      <c r="H30" s="446"/>
      <c r="I30" s="296"/>
      <c r="J30" s="446"/>
      <c r="K30" s="296"/>
      <c r="L30" s="461"/>
      <c r="M30" s="124">
        <f>C.sd0RD*FRACs.sdR/(FRACw.sdR/(Kp.sd0R*RHOsolid/1000)+FRACs.sdR)*(Molweight*1000*1000)/(FRACs.sdR*RHOsolid)</f>
        <v>8.4281034684983824E-2</v>
      </c>
      <c r="N30" s="124">
        <f>C.sd0CD*FRACs.sdC/(FRACw.sdC/(Kp.sd0C*RHOsolid/1000)+FRACs.sdC)*(Molweight*1000*1000)/(FRACs.sdC*RHOsolid)</f>
        <v>7.0630520862285248E-5</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1.2620770068287769E-9</v>
      </c>
      <c r="AG30" s="163">
        <f>(kdis.s3S.s3D*M.s3CS+kdis.s3A.s3D*M.s3CA+kdis.s3P.s3D*M.s3CP)*Molweight</f>
        <v>1.8954063719604434E-7</v>
      </c>
      <c r="AH30" s="162">
        <f>KDEG.s3C*VOLUME.s3C*C.s3C*Molweight</f>
        <v>1.6289421762440471E-19</v>
      </c>
      <c r="AI30" s="163"/>
      <c r="AJ30" s="163"/>
      <c r="AK30" s="163">
        <f>k.aC.s3C*M.aC*Molweight</f>
        <v>2.5509985751294231E-17</v>
      </c>
      <c r="AL30" s="163">
        <f>k.s3C.aC*M.s3C*Molweight</f>
        <v>4.0001216342013699E-25</v>
      </c>
      <c r="AM30" s="163">
        <f>k.s3C.w1C*M.s3C*Molweight</f>
        <v>1.7258868019668239E-7</v>
      </c>
      <c r="AN30" s="163"/>
      <c r="AO30" s="162"/>
      <c r="AP30" s="909">
        <f>SUM(AC30,AD30,AK30,AG30)-SUM(AE30,AF30,AH30,AL30,AM30,AP29)</f>
        <v>-1.4781783280751929E-7</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9.5877619374883628E-9</v>
      </c>
      <c r="D31" s="446">
        <f t="shared" si="7"/>
        <v>1.4132688096560335E-18</v>
      </c>
      <c r="E31" s="295">
        <f>M.sd0CS*Molweight</f>
        <v>7.4383244626932916E-10</v>
      </c>
      <c r="F31" s="446">
        <f t="shared" si="8"/>
        <v>6.1648037015534763E-21</v>
      </c>
      <c r="G31" s="296"/>
      <c r="H31" s="446"/>
      <c r="I31" s="296"/>
      <c r="J31" s="446"/>
      <c r="K31" s="296"/>
      <c r="L31" s="461"/>
      <c r="M31" s="124">
        <f>C.sd0RS*(Molweight*1000)/(FRACw.sdR*1000+FRACs.sdR*RHOsolid)</f>
        <v>4.3022277583092929E-16</v>
      </c>
      <c r="N31" s="124">
        <f>C.sd0CS*(Molweight*1000)/(FRACw.sdC*1000+FRACs.sdC*RHOsolid)</f>
        <v>2.1885831624421886E-18</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5.44592383096405E-7</v>
      </c>
      <c r="BU31" s="113"/>
      <c r="BV31" s="113"/>
      <c r="BW31" s="113"/>
      <c r="BX31" s="113"/>
      <c r="BY31" s="113"/>
      <c r="BZ31" s="2"/>
      <c r="CA31" s="113"/>
      <c r="CB31" s="2"/>
      <c r="CC31" s="2"/>
      <c r="CD31" s="2"/>
      <c r="CE31" s="2"/>
    </row>
    <row r="32" spans="1:83" ht="12.75" customHeight="1" thickBot="1" x14ac:dyDescent="0.35">
      <c r="A32" s="17"/>
      <c r="B32" s="159" t="s">
        <v>150</v>
      </c>
      <c r="C32" s="295">
        <f>M.sd0RA*Molweight</f>
        <v>1344753.622883196</v>
      </c>
      <c r="D32" s="446">
        <f t="shared" si="7"/>
        <v>1.9822127043661586E-4</v>
      </c>
      <c r="E32" s="295">
        <f>M.sd0CA*Molweight</f>
        <v>148643.63764351746</v>
      </c>
      <c r="F32" s="446">
        <f t="shared" si="8"/>
        <v>1.231942559313058E-6</v>
      </c>
      <c r="G32" s="296"/>
      <c r="H32" s="446"/>
      <c r="I32" s="296"/>
      <c r="J32" s="446"/>
      <c r="K32" s="296"/>
      <c r="L32" s="461"/>
      <c r="M32" s="124">
        <f>C.sd0RA*(Molweight*1000)/(FRACw.sdR*1000+FRACs.sdR*RHOsolid)</f>
        <v>6.0341885855904359E-2</v>
      </c>
      <c r="N32" s="124">
        <f>C.sd0CA*(Molweight*1000)/(FRACw.sdC*1000+FRACs.sdC*RHOsolid)</f>
        <v>4.3735516537681077E-4</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4.1179119563171797E-14</v>
      </c>
      <c r="AE32" s="163">
        <f>(k.aM.aA+k.aM.aC+k.aM.aT)*M.aM*Molweight</f>
        <v>5.3399901853994841E-15</v>
      </c>
      <c r="AF32" s="163">
        <f>kesc.aM*VOLUME.aM*C.aM*Molweight</f>
        <v>1.679740403698776E-18</v>
      </c>
      <c r="AG32" s="163"/>
      <c r="AH32" s="162">
        <f>KDEG.aM*VOLUME.aM*C.aM*Molweight</f>
        <v>1.746277580309085E-41</v>
      </c>
      <c r="AI32" s="163">
        <f>SUM(AI33,AK36)</f>
        <v>3.6263273517857358E-14</v>
      </c>
      <c r="AJ32" s="163">
        <f>SUM(AJ33,AL36)</f>
        <v>4.2582388048874462E-16</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5.4520644174732348E-15</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2141713.4529796191</v>
      </c>
      <c r="D33" s="446">
        <f t="shared" si="7"/>
        <v>3.1569586750813017E-4</v>
      </c>
      <c r="E33" s="295">
        <f>M.sd0CP*Molweight</f>
        <v>12698.676210876632</v>
      </c>
      <c r="F33" s="446">
        <f t="shared" si="8"/>
        <v>1.0524526928379743E-7</v>
      </c>
      <c r="G33" s="296"/>
      <c r="H33" s="446"/>
      <c r="I33" s="296"/>
      <c r="J33" s="446"/>
      <c r="K33" s="296"/>
      <c r="L33" s="461"/>
      <c r="M33" s="124">
        <f>C.sd0RP*(Molweight*1000)/(FRACw.sdR*1000+FRACs.sdR*RHOsolid)</f>
        <v>9.6103127380811101E-2</v>
      </c>
      <c r="N33" s="124">
        <f>C.sd0CP*(Molweight*1000)/(FRACw.sdC*1000+FRACs.sdC*RHOsolid)</f>
        <v>3.7363399620197151E-5</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170104.07755112785</v>
      </c>
      <c r="AE33" s="163">
        <f>(k.w2M.w2C+k.w2M.w2A+k.w2M.w2T+k.w2M.w3M)*M.w2M*Molweight</f>
        <v>170104.08222925174</v>
      </c>
      <c r="AF33" s="163"/>
      <c r="AG33" s="163">
        <f>(kdis.w2S.w2D*M.w2MS+kdis.w2A.w2D*M.w2MA+kdis.w2P.w2D*M.w2MP)*Molweight</f>
        <v>4.6780613143339589E-3</v>
      </c>
      <c r="AH33" s="162">
        <f>KDEG.w2M*VOLUME.w2M*C.w2M*Molweight</f>
        <v>2.3492592666528948E-9</v>
      </c>
      <c r="AI33" s="163">
        <f>k.aM.w2M*M.aM*Molweight</f>
        <v>1.8131636758931326E-14</v>
      </c>
      <c r="AJ33" s="163">
        <f>k.w2M.aM*M.w2M*Molweight</f>
        <v>4.2582388035069386E-16</v>
      </c>
      <c r="AK33" s="163"/>
      <c r="AL33" s="163"/>
      <c r="AM33" s="163">
        <f>k.sM.w2M*M.sM*Molweight</f>
        <v>6.4978018554356767E-8</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166591.35118020631</v>
      </c>
      <c r="AE34" s="163">
        <f>(k.w3M.w2M+k.w3M.w3A+k.w3M.w3T)*M.w3M*Molweight</f>
        <v>166591.47347566596</v>
      </c>
      <c r="AF34" s="163"/>
      <c r="AG34" s="163">
        <f>(kdis.w2S.w2D*M.w3MS+kdis.w2A.w2D*M.w3MA+kdis.w2P.w2D*M.w3MP)*Molweight</f>
        <v>0.14058373493668971</v>
      </c>
      <c r="AH34" s="162">
        <f>KDEG.w3M*M.w3MD*Molweight</f>
        <v>7.0477866768253518E-8</v>
      </c>
      <c r="AI34" s="163"/>
      <c r="AJ34" s="163"/>
      <c r="AK34" s="163"/>
      <c r="AL34" s="163"/>
      <c r="AM34" s="163"/>
      <c r="AN34" s="163">
        <f>k.w3M.sdM*M.w3M*Molweight</f>
        <v>281.59510075167134</v>
      </c>
      <c r="AO34" s="162">
        <f>k.sdM.w3M*M.sdM*Molweight</f>
        <v>281.57681254683763</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6.4035010107833376E-3</v>
      </c>
      <c r="BQ34" s="96">
        <f>IF(ISERROR(D52),0,D52)</f>
        <v>1.9802502859039977E-4</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7613390.1420378927</v>
      </c>
      <c r="D35" s="446">
        <f t="shared" ref="D35:D41" si="9">C35/$C$103</f>
        <v>1.1222396732040189E-3</v>
      </c>
      <c r="E35" s="295">
        <f>SUM(E36,E39:E41)</f>
        <v>401142.08692086831</v>
      </c>
      <c r="F35" s="446">
        <f t="shared" ref="F35:F41" si="10">E35/$E$103</f>
        <v>3.3246226817635184E-6</v>
      </c>
      <c r="G35" s="296"/>
      <c r="H35" s="446"/>
      <c r="I35" s="296"/>
      <c r="J35" s="446"/>
      <c r="K35" s="296"/>
      <c r="L35" s="461"/>
      <c r="M35" s="459">
        <f>(M.w1RD+M.w1RS+M.w1RA+M.w1RP)*Molweight/(VOLUME.w1R)</f>
        <v>4.0374290971337701E-4</v>
      </c>
      <c r="N35" s="459">
        <f>(M.w1CD+M.w1CS+M.w1CA+M.w1CP)*Molweight/(VOLUME.w1C)</f>
        <v>1.3948799504032181E-6</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1.8532635818329816E-2</v>
      </c>
      <c r="AG35" s="163">
        <f>(kdis.sd2S.sd2D*M.sdMS+kdis.sd2A.sd2D*M.sdMA+kdis.sd2P.sd2D*M.sdMP)*Molweight</f>
        <v>2.4443100984001284E-4</v>
      </c>
      <c r="AH35" s="162">
        <f>KDEG.sdM*M.sdMD*Molweight</f>
        <v>2.5223708478265196E-11</v>
      </c>
      <c r="AI35" s="163"/>
      <c r="AJ35" s="163"/>
      <c r="AK35" s="163"/>
      <c r="AL35" s="163"/>
      <c r="AM35" s="163"/>
      <c r="AN35" s="163">
        <f>k.w3M.sdM*M.w3M*Molweight</f>
        <v>281.59510075167134</v>
      </c>
      <c r="AO35" s="162">
        <f>k.sdM.w3M*M.sdM*Molweight</f>
        <v>281.57681254683763</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9094.8136380960441</v>
      </c>
      <c r="D36" s="446">
        <f t="shared" si="9"/>
        <v>1.3406065490735966E-6</v>
      </c>
      <c r="E36" s="295">
        <f>M.w1CD*Molweight</f>
        <v>44.950211665271013</v>
      </c>
      <c r="F36" s="446">
        <f t="shared" si="10"/>
        <v>3.7254254321589302E-10</v>
      </c>
      <c r="G36" s="296"/>
      <c r="H36" s="446"/>
      <c r="I36" s="296"/>
      <c r="J36" s="446"/>
      <c r="K36" s="296"/>
      <c r="L36" s="461"/>
      <c r="M36" s="124">
        <f>C.w1R*Molweight</f>
        <v>4.8230373763072617E-7</v>
      </c>
      <c r="N36" s="124">
        <f>C.w1C*Molweight</f>
        <v>1.5630409040235168E-10</v>
      </c>
      <c r="O36" s="124"/>
      <c r="P36" s="124"/>
      <c r="Q36" s="124"/>
      <c r="R36" s="160" t="s">
        <v>158</v>
      </c>
      <c r="S36" s="163">
        <f>F.w1R</f>
        <v>2.728885535885356E-25</v>
      </c>
      <c r="T36" s="163">
        <f>F.w1C</f>
        <v>8.8437210458706828E-29</v>
      </c>
      <c r="U36" s="163"/>
      <c r="V36" s="163"/>
      <c r="W36" s="162"/>
      <c r="X36" s="17"/>
      <c r="Y36" s="156"/>
      <c r="Z36" s="17"/>
      <c r="AA36" s="312" t="s">
        <v>206</v>
      </c>
      <c r="AB36" s="162" t="s">
        <v>192</v>
      </c>
      <c r="AC36" s="161">
        <f>E.sMD*Molweight</f>
        <v>0</v>
      </c>
      <c r="AD36" s="163"/>
      <c r="AE36" s="163"/>
      <c r="AF36" s="163">
        <f>(FRACinf.sM*RAINrate.M/Kslw.M*SYSTEMAREA.M*AREAFRAC.sM*CORRleach.sM)*C.sM*Molweight</f>
        <v>4.3556347081309563E-10</v>
      </c>
      <c r="AG36" s="163">
        <f>(kdis.s1S.s1D*M.sMS+kdis.s1A.s1D*M.sMA+kdis.s1P.s1D*M.sMP)*Molweight</f>
        <v>6.5413563893589302E-8</v>
      </c>
      <c r="AH36" s="162">
        <f>KDEG.sM*VOLUME.sM*C.sM*Molweight</f>
        <v>5.6217465669664295E-20</v>
      </c>
      <c r="AI36" s="163"/>
      <c r="AJ36" s="163"/>
      <c r="AK36" s="163">
        <f>k.aM.sM*M.aM*Molweight</f>
        <v>1.8131636758926032E-14</v>
      </c>
      <c r="AL36" s="163">
        <f>k.sM.aM*M.sM*Molweight</f>
        <v>1.3805075706475297E-25</v>
      </c>
      <c r="AM36" s="163">
        <f>k.sM.w2M*M.sM*Molweight</f>
        <v>6.4978018554356767E-8</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9079.1974185361596</v>
      </c>
      <c r="D37" s="446">
        <f t="shared" si="9"/>
        <v>1.3383046650497107E-6</v>
      </c>
      <c r="E37" s="295">
        <f>FRw.w1C*E36</f>
        <v>44.873030053578852</v>
      </c>
      <c r="F37" s="446">
        <f t="shared" si="10"/>
        <v>3.7190287027901308E-10</v>
      </c>
      <c r="G37" s="296"/>
      <c r="H37" s="446"/>
      <c r="I37" s="296"/>
      <c r="J37" s="446"/>
      <c r="K37" s="296"/>
      <c r="L37" s="461"/>
      <c r="M37" s="124">
        <f>M36*FRwD.w1R</f>
        <v>4.8147559959941511E-7</v>
      </c>
      <c r="N37" s="124">
        <f>N36*FRw.w1C</f>
        <v>1.5603570898290105E-10</v>
      </c>
      <c r="O37" s="124"/>
      <c r="P37" s="124"/>
      <c r="Q37" s="124"/>
      <c r="R37" s="160" t="s">
        <v>158</v>
      </c>
      <c r="S37" s="163">
        <f>S36*FRwD.w1R</f>
        <v>2.7241999120366527E-25</v>
      </c>
      <c r="T37" s="163">
        <f>T36*FRw.w1C</f>
        <v>8.8285359640125791E-29</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6.5351352105674256E-3</v>
      </c>
      <c r="BQ37" s="55">
        <f>AH17</f>
        <v>5.8539391167535076E-16</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15.616219559883724</v>
      </c>
      <c r="D38" s="446">
        <f t="shared" si="9"/>
        <v>2.3018840238857281E-9</v>
      </c>
      <c r="E38" s="295">
        <f>(1-FRw.w1C)*E36</f>
        <v>7.7181611692163171E-2</v>
      </c>
      <c r="F38" s="446">
        <f t="shared" si="10"/>
        <v>6.3967293687996504E-13</v>
      </c>
      <c r="G38" s="296"/>
      <c r="H38" s="446"/>
      <c r="I38" s="296"/>
      <c r="J38" s="446"/>
      <c r="K38" s="296"/>
      <c r="L38" s="461"/>
      <c r="M38" s="124">
        <f>M37*Kp.susp1R</f>
        <v>4.8147559959941512E-5</v>
      </c>
      <c r="N38" s="124">
        <f>N37*Kp.susp1C</f>
        <v>1.5603570898290104E-8</v>
      </c>
      <c r="O38" s="124"/>
      <c r="P38" s="124"/>
      <c r="Q38" s="124"/>
      <c r="R38" s="160" t="s">
        <v>164</v>
      </c>
      <c r="S38" s="163">
        <f>S36*(1-FRwD.w1R)</f>
        <v>4.685623848703501E-28</v>
      </c>
      <c r="T38" s="163">
        <f>T36*(1-FRw.w1C)</f>
        <v>1.5185081858103123E-31</v>
      </c>
      <c r="U38" s="163"/>
      <c r="V38" s="163"/>
      <c r="W38" s="162"/>
      <c r="X38" s="17"/>
      <c r="Y38" s="156"/>
      <c r="Z38" s="17"/>
      <c r="AA38" s="312" t="s">
        <v>141</v>
      </c>
      <c r="AB38" s="162" t="s">
        <v>193</v>
      </c>
      <c r="AC38" s="161">
        <f>E.aAG*Molweight</f>
        <v>0</v>
      </c>
      <c r="AD38" s="163">
        <f>k.aM.aA*M.aM*Molweight</f>
        <v>1.7393367882091611E-15</v>
      </c>
      <c r="AE38" s="163">
        <f>k.aA.aM*M.aA*Molweight</f>
        <v>1.3826321489088828E-16</v>
      </c>
      <c r="AF38" s="163">
        <f>kesc.aA*VOLUME.aA*C.aA*Molweight</f>
        <v>7.3156626246149559E-20</v>
      </c>
      <c r="AG38" s="163"/>
      <c r="AH38" s="162">
        <f>KDEG.aA*VOLUME.aA*C.aA*Molweight</f>
        <v>3.3059823674545461E-47</v>
      </c>
      <c r="AI38" s="163">
        <f>SUM(AI39,AK42)</f>
        <v>1.6010011764200202E-15</v>
      </c>
      <c r="AJ38" s="163">
        <f>SUM(AJ39,AL42)</f>
        <v>7.5972799341387879E-22</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4808.2265787822553</v>
      </c>
      <c r="D39" s="446">
        <f t="shared" si="9"/>
        <v>7.0874899667484031E-7</v>
      </c>
      <c r="E39" s="295">
        <f>M.w1CS*Molweight</f>
        <v>1.0989903193576471</v>
      </c>
      <c r="F39" s="446">
        <f t="shared" si="10"/>
        <v>9.1083141408089708E-12</v>
      </c>
      <c r="G39" s="296"/>
      <c r="H39" s="446"/>
      <c r="I39" s="296"/>
      <c r="J39" s="446"/>
      <c r="K39" s="296"/>
      <c r="L39" s="461"/>
      <c r="M39" s="124">
        <f>C.w1RS*Molweight</f>
        <v>2.5498330615684371E-7</v>
      </c>
      <c r="N39" s="124">
        <f>C.w1CS*Molweight</f>
        <v>3.8214877275183865E-12</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124864.72463688733</v>
      </c>
      <c r="AE39" s="163">
        <f>(k.w2A.w2M+k.w2A.w3A)*M.w2A*Molweight</f>
        <v>124864.72837743918</v>
      </c>
      <c r="AF39" s="163"/>
      <c r="AG39" s="163">
        <f>(kdis.w2S.w2D*M.w2AS+kdis.w2A.w2D*M.w2AA+kdis.w2P.w2D*M.w2AP)*Molweight</f>
        <v>3.7405450039464643E-3</v>
      </c>
      <c r="AH39" s="162">
        <f>KDEG.w2A*VOLUME.w2A*C.w2A*Molweight</f>
        <v>4.0958908165165434E-10</v>
      </c>
      <c r="AI39" s="163">
        <f>k.aA.w2A*M.aA*Molweight</f>
        <v>9.6060070585201212E-16</v>
      </c>
      <c r="AJ39" s="163">
        <f>k.w2A.aA*M.w2A*Molweight</f>
        <v>7.5972799331850219E-22</v>
      </c>
      <c r="AK39" s="163"/>
      <c r="AL39" s="163"/>
      <c r="AM39" s="163">
        <f>k.sA.w2A*M.sA*Molweight</f>
        <v>7.2656437722557031E-9</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2.1246858615752905E-5</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7503539.3991806796</v>
      </c>
      <c r="D40" s="446">
        <f t="shared" si="9"/>
        <v>1.1060472990493564E-3</v>
      </c>
      <c r="E40" s="295">
        <f>M.w1CA*Molweight</f>
        <v>400696.33305384958</v>
      </c>
      <c r="F40" s="446">
        <f t="shared" si="10"/>
        <v>3.3209283214231467E-6</v>
      </c>
      <c r="G40" s="296"/>
      <c r="H40" s="446"/>
      <c r="I40" s="296"/>
      <c r="J40" s="446"/>
      <c r="K40" s="296"/>
      <c r="L40" s="461"/>
      <c r="M40" s="124">
        <f>C.w1RA*Molweight</f>
        <v>3.9791745512246388E-4</v>
      </c>
      <c r="N40" s="124">
        <f>C.w1CA*Molweight</f>
        <v>1.3933299431808605E-6</v>
      </c>
      <c r="O40" s="124"/>
      <c r="P40" s="124"/>
      <c r="Q40" s="124"/>
      <c r="R40" s="160" t="s">
        <v>158</v>
      </c>
      <c r="S40" s="163"/>
      <c r="T40" s="163"/>
      <c r="U40" s="163"/>
      <c r="V40" s="163"/>
      <c r="W40" s="162"/>
      <c r="X40" s="17"/>
      <c r="Y40" s="156"/>
      <c r="Z40" s="17"/>
      <c r="AA40" s="312" t="s">
        <v>189</v>
      </c>
      <c r="AB40" s="162" t="s">
        <v>195</v>
      </c>
      <c r="AC40" s="161"/>
      <c r="AD40" s="163">
        <f>(k.w2A.w3A*M.w2A+k.w3M.w3A*M.w3M)*Molweight</f>
        <v>124864.72837743918</v>
      </c>
      <c r="AE40" s="163">
        <f>(k.w3A.w2A+k.w3A.w3M)*M.w3A*Molweight</f>
        <v>124864.81216762784</v>
      </c>
      <c r="AF40" s="163"/>
      <c r="AG40" s="163">
        <f>(kdis.w2S.w2D*M.w3AS+kdis.w2A.w2D*M.w3AA+kdis.w2P.w2D*M.w3AP)*Molweight</f>
        <v>9.2265264349439852E-2</v>
      </c>
      <c r="AH40" s="162">
        <f>KDEG.w3A*VOLUME.w3A*C.w3A*Molweight</f>
        <v>1.008457706313033E-8</v>
      </c>
      <c r="AI40" s="163"/>
      <c r="AJ40" s="163"/>
      <c r="AK40" s="163"/>
      <c r="AL40" s="163"/>
      <c r="AM40" s="163"/>
      <c r="AN40" s="163">
        <f>k.w3A.sdA*M.w3A*Molweight</f>
        <v>185.13819436718597</v>
      </c>
      <c r="AO40" s="162">
        <f>k.sdA.w3A*M.sdA*Molweight</f>
        <v>185.12971930156917</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95947.702640334988</v>
      </c>
      <c r="D41" s="446">
        <f t="shared" si="9"/>
        <v>1.4143018608914211E-5</v>
      </c>
      <c r="E41" s="295">
        <f>M.w1CP*Molweight</f>
        <v>399.70466503405726</v>
      </c>
      <c r="F41" s="446">
        <f t="shared" si="10"/>
        <v>3.3127094830143227E-9</v>
      </c>
      <c r="G41" s="296"/>
      <c r="H41" s="446"/>
      <c r="I41" s="296"/>
      <c r="J41" s="446"/>
      <c r="K41" s="296"/>
      <c r="L41" s="461"/>
      <c r="M41" s="124">
        <f>C.w1RP*Molweight</f>
        <v>5.0881675471255404E-6</v>
      </c>
      <c r="N41" s="124">
        <f>C.w1CP*Molweight</f>
        <v>1.3898816442280326E-9</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8.632189934856099E-3</v>
      </c>
      <c r="AG41" s="163">
        <f>(kdis.sd2S.sd2D*M.sdAS+kdis.sd2A.sd2D*M.sdAA+kdis.sd2P.sd2D*M.sdAP)*Molweight</f>
        <v>1.5712432167022962E-4</v>
      </c>
      <c r="AH41" s="162">
        <f>KDEG.sdA*VOLUME.sdA*C.sdA*Molweight</f>
        <v>3.609224267313229E-12</v>
      </c>
      <c r="AI41" s="163"/>
      <c r="AJ41" s="163"/>
      <c r="AK41" s="163"/>
      <c r="AL41" s="163"/>
      <c r="AM41" s="163"/>
      <c r="AN41" s="163">
        <f>k.w3A.sdA*M.w3A*Molweight</f>
        <v>185.13819436718597</v>
      </c>
      <c r="AO41" s="162">
        <f>k.sdA.w3A*M.sdA*Molweight</f>
        <v>185.12971930156917</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4.8256003623172822E-11</v>
      </c>
      <c r="AG42" s="163">
        <f>(kdis.s1S.s1D*M.sAS+kdis.s1A.s1D*M.sAA+kdis.s1P.s1D*M.sAP)*Molweight</f>
        <v>7.313899135482203E-9</v>
      </c>
      <c r="AH42" s="162">
        <f>KDEG.sA*VOLUME.sA*C.sA*Molweight</f>
        <v>3.7954494083445312E-21</v>
      </c>
      <c r="AI42" s="163"/>
      <c r="AJ42" s="163"/>
      <c r="AK42" s="163">
        <f>k.aA.sA*M.aA*Molweight</f>
        <v>6.4040047056800808E-16</v>
      </c>
      <c r="AL42" s="163">
        <f>k.sA.aA*M.sA*Molweight</f>
        <v>9.5376602708935079E-32</v>
      </c>
      <c r="AM42" s="163">
        <f>k.sA.w2A*M.sA*Molweight</f>
        <v>7.2656437722557031E-9</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36158004.257112607</v>
      </c>
      <c r="D43" s="446">
        <f t="shared" ref="D43:D49" si="11">C43/$C$103</f>
        <v>5.329813148173961E-3</v>
      </c>
      <c r="E43" s="295">
        <f>SUM(E44,E47:E49)</f>
        <v>356033.35788858688</v>
      </c>
      <c r="F43" s="446">
        <f t="shared" ref="F43:F49" si="12">E43/$E$103</f>
        <v>2.9507663635761144E-6</v>
      </c>
      <c r="G43" s="296"/>
      <c r="H43" s="446"/>
      <c r="I43" s="296"/>
      <c r="J43" s="446"/>
      <c r="K43" s="296"/>
      <c r="L43" s="461"/>
      <c r="M43" s="459">
        <f>((M.sd1RD+M.sd1RS+M.sd1RA+M.sd1RP)*Molweight*1000/(VOLUME.sd1R))/(FRACw.sdR*1000+FRACs.sdR*RHOsolid)</f>
        <v>0.14749860822981442</v>
      </c>
      <c r="N43" s="459">
        <f>((M.sd1CD+M.sd1CS+M.sd1CA+M.sd1CP)*Molweight*1000/(VOLUME.sd1C))/(FRACw.sdC*1000+FRACs.sdC*RHOsolid)</f>
        <v>9.5232665544360399E-5</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1.3178704045975476E-4</v>
      </c>
      <c r="BQ43" s="113"/>
      <c r="BR43" s="113"/>
      <c r="BS43" s="22">
        <f>AF16</f>
        <v>1.0697143927759818E-5</v>
      </c>
      <c r="BT43" s="113"/>
      <c r="BU43" s="113"/>
      <c r="BV43" s="113"/>
      <c r="BW43" s="22">
        <f>AF18</f>
        <v>3.9048175044381436E-8</v>
      </c>
      <c r="BX43" s="2"/>
      <c r="BY43" s="113"/>
      <c r="BZ43" s="22">
        <f>AF20</f>
        <v>1.4462287053474604E-8</v>
      </c>
      <c r="CA43" s="113"/>
      <c r="CB43" s="112">
        <f>AF19</f>
        <v>4.4243986949923364E-6</v>
      </c>
      <c r="CC43" s="113"/>
      <c r="CD43" s="113"/>
      <c r="CE43" s="2"/>
    </row>
    <row r="44" spans="1:83" ht="12.75" customHeight="1" x14ac:dyDescent="0.3">
      <c r="A44" s="17"/>
      <c r="B44" s="443" t="s">
        <v>140</v>
      </c>
      <c r="C44" s="295">
        <f>M.sd1RD*Molweight</f>
        <v>3694.5711151501332</v>
      </c>
      <c r="D44" s="446">
        <f t="shared" si="11"/>
        <v>5.44592383096405E-7</v>
      </c>
      <c r="E44" s="295">
        <f>M.sd1CD*Molweight</f>
        <v>18.533083642498337</v>
      </c>
      <c r="F44" s="446">
        <f t="shared" si="12"/>
        <v>1.5360021361464636E-10</v>
      </c>
      <c r="G44" s="296"/>
      <c r="H44" s="446"/>
      <c r="I44" s="296"/>
      <c r="J44" s="446"/>
      <c r="K44" s="296"/>
      <c r="L44" s="461"/>
      <c r="M44" s="124">
        <f>C.sd1R*(Molweight*1000)/(FRACw.sdR*1000+FRACs.sdR*RHOsolid)</f>
        <v>1.5071188487498518E-5</v>
      </c>
      <c r="N44" s="124">
        <f>C.sd1C*(Molweight*1000)/(FRACw.sdC*1000+FRACs.sdC*RHOsolid)</f>
        <v>4.9572741343635731E-9</v>
      </c>
      <c r="O44" s="124"/>
      <c r="P44" s="124"/>
      <c r="Q44" s="124"/>
      <c r="R44" s="160" t="s">
        <v>175</v>
      </c>
      <c r="S44" s="163">
        <f>F.sd1R</f>
        <v>4.2967079914617845E-25</v>
      </c>
      <c r="T44" s="163">
        <f>F.sd1C</f>
        <v>1.4132899609513202E-28</v>
      </c>
      <c r="U44" s="163"/>
      <c r="V44" s="163"/>
      <c r="W44" s="162"/>
      <c r="X44" s="17"/>
      <c r="Y44" s="156"/>
      <c r="Z44" s="17"/>
      <c r="AA44" s="312" t="s">
        <v>141</v>
      </c>
      <c r="AB44" s="162" t="s">
        <v>198</v>
      </c>
      <c r="AC44" s="161">
        <f>E.aTG*Molweight</f>
        <v>0</v>
      </c>
      <c r="AD44" s="163">
        <f>k.aM.aT*M.aM*Molweight</f>
        <v>3.012619688651935E-15</v>
      </c>
      <c r="AE44" s="163">
        <f>k.aT.aM*M.aT*Molweight</f>
        <v>4.0947488681605883E-14</v>
      </c>
      <c r="AF44" s="163">
        <f>kesc.aT*VOLUME.aT*C.aT*Molweight</f>
        <v>3.7526228354245966E-17</v>
      </c>
      <c r="AG44" s="163"/>
      <c r="AH44" s="162">
        <f>KDEG.aT*VOLUME.aT*C.aT*Molweight</f>
        <v>1.7188113998428497E-39</v>
      </c>
      <c r="AI44" s="163">
        <f>SUM(AI45,AK48)</f>
        <v>8.2836893999799783E-13</v>
      </c>
      <c r="AJ44" s="163">
        <f>SUM(AJ45,AL48)</f>
        <v>8.6634133521930633E-13</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2955.6568921201069</v>
      </c>
      <c r="D45" s="446">
        <f t="shared" si="11"/>
        <v>4.3567390647712404E-7</v>
      </c>
      <c r="E45" s="295">
        <f>E44*FRACw.sdC</f>
        <v>14.82646691399867</v>
      </c>
      <c r="F45" s="446">
        <f t="shared" si="12"/>
        <v>1.2288017089171712E-10</v>
      </c>
      <c r="G45" s="296"/>
      <c r="H45" s="446"/>
      <c r="I45" s="296"/>
      <c r="J45" s="446"/>
      <c r="K45" s="296"/>
      <c r="L45" s="461"/>
      <c r="M45" s="124">
        <f>M46/Kp.sd1R</f>
        <v>7.5940097030031321E-4</v>
      </c>
      <c r="N45" s="124">
        <f>N46/Kp.sd1C</f>
        <v>2.4978513080126541E-7</v>
      </c>
      <c r="O45" s="124"/>
      <c r="P45" s="124"/>
      <c r="Q45" s="124"/>
      <c r="R45" s="160" t="s">
        <v>158</v>
      </c>
      <c r="S45" s="163">
        <f>S44*FRACw.sdR</f>
        <v>3.4373663931694277E-25</v>
      </c>
      <c r="T45" s="163">
        <f>T44*FRACw.sdC</f>
        <v>1.1306319687610562E-28</v>
      </c>
      <c r="U45" s="163"/>
      <c r="V45" s="163"/>
      <c r="W45" s="162"/>
      <c r="X45" s="17"/>
      <c r="Y45" s="156"/>
      <c r="Z45" s="17"/>
      <c r="AA45" s="312" t="s">
        <v>186</v>
      </c>
      <c r="AB45" s="162" t="s">
        <v>199</v>
      </c>
      <c r="AC45" s="161">
        <f>E.w2TD*Molweight</f>
        <v>0</v>
      </c>
      <c r="AD45" s="163">
        <f>(k.w2M.w2T*M.w2M+k.w3T.w2T*M.w3T)*Molweight</f>
        <v>325093.35388609581</v>
      </c>
      <c r="AE45" s="163">
        <f>(k.w2T.w2M+k.w2T.w3T)*M.w2T*Molweight</f>
        <v>325093.36466749024</v>
      </c>
      <c r="AF45" s="163"/>
      <c r="AG45" s="163">
        <f>(kdis.w2S.w2D*M.w2TS+kdis.w2A.w2D*M.w2TA+kdis.w2P.w2D*M.w2TP)*Molweight</f>
        <v>1.0781404898583393E-2</v>
      </c>
      <c r="AH45" s="162">
        <f>KDEG.w2T*VOLUME.w2T*C.w2T*Molweight</f>
        <v>1.3311121791907654E-8</v>
      </c>
      <c r="AI45" s="163">
        <f>k.aT.w2T*M.aT*Molweight</f>
        <v>5.7985825799879554E-13</v>
      </c>
      <c r="AJ45" s="163">
        <f>k.w2T.aT*M.w2T*Molweight</f>
        <v>8.66341335216401E-13</v>
      </c>
      <c r="AK45" s="163"/>
      <c r="AL45" s="163"/>
      <c r="AM45" s="163">
        <f>k.sT.w2T*M.sT*Molweight</f>
        <v>2.8666210252026784E-9</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738.91422303002651</v>
      </c>
      <c r="D46" s="446">
        <f t="shared" si="11"/>
        <v>1.0891847661928098E-7</v>
      </c>
      <c r="E46" s="295">
        <f>E44*FRACs.sdC</f>
        <v>3.7066167284996667</v>
      </c>
      <c r="F46" s="446">
        <f t="shared" si="12"/>
        <v>3.0720042722929266E-11</v>
      </c>
      <c r="G46" s="296"/>
      <c r="H46" s="446"/>
      <c r="I46" s="296"/>
      <c r="J46" s="446"/>
      <c r="K46" s="296"/>
      <c r="L46" s="461"/>
      <c r="M46" s="124">
        <f>C.sd1R*FRACs.sdR/(FRACw.sdR/(Kp.sd1R*RHOsolid/1000)+FRACs.sdR)*(Molweight*1000*1000)/(FRACs.sdR*RHOsolid)</f>
        <v>3.7970048515015661E-2</v>
      </c>
      <c r="N46" s="124">
        <f>C.sd1C*FRACs.sdC/(FRACw.sdC/(Kp.sd1C*RHOsolid/1000)+FRACs.sdC)*(Molweight*1000*1000)/(FRACs.sdC*RHOsolid)</f>
        <v>1.2489256540063271E-5</v>
      </c>
      <c r="O46" s="124"/>
      <c r="P46" s="124"/>
      <c r="Q46" s="124"/>
      <c r="R46" s="160" t="s">
        <v>164</v>
      </c>
      <c r="S46" s="163">
        <f>S44*(1-FRACw.sdR)</f>
        <v>8.593415982923567E-26</v>
      </c>
      <c r="T46" s="163">
        <f>T44*(1-FRACw.sdC)</f>
        <v>2.8265799219026394E-29</v>
      </c>
      <c r="U46" s="163"/>
      <c r="V46" s="163"/>
      <c r="W46" s="162"/>
      <c r="X46" s="17"/>
      <c r="Y46" s="156"/>
      <c r="Z46" s="17"/>
      <c r="AA46" s="312" t="s">
        <v>189</v>
      </c>
      <c r="AB46" s="162" t="s">
        <v>200</v>
      </c>
      <c r="AC46" s="161"/>
      <c r="AD46" s="163">
        <f>(k.w2T.w3T*M.w2T+k.w3M.w3T*M.w3M)*Molweight</f>
        <v>325093.03760887519</v>
      </c>
      <c r="AE46" s="163">
        <f>(k.w3T.w2T+k.w3T.w3M)*M.w3T*Molweight</f>
        <v>325093.35388609581</v>
      </c>
      <c r="AF46" s="163"/>
      <c r="AG46" s="163">
        <f>(kdis.w2S.w2D*M.w3TS+kdis.w2A.w2D*M.w3TA+kdis.w2P.w2D*M.w3TP)*Molweight</f>
        <v>0.34809068111512137</v>
      </c>
      <c r="AH46" s="162">
        <f>KDEG.w3T*VOLUME.w3T*C.w3T*Molweight</f>
        <v>4.2886787228427862E-7</v>
      </c>
      <c r="AI46" s="163"/>
      <c r="AJ46" s="163"/>
      <c r="AK46" s="163"/>
      <c r="AL46" s="163"/>
      <c r="AM46" s="163"/>
      <c r="AN46" s="163">
        <f>k.w3T.sdT*M.w3T*Molweight</f>
        <v>695.91606653582016</v>
      </c>
      <c r="AO46" s="162">
        <f>k.sdT.w3T*M.sdT*Molweight</f>
        <v>695.88425350414138</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5.4318738467750609E-24</v>
      </c>
      <c r="BX46" s="120" t="s">
        <v>137</v>
      </c>
      <c r="BY46" s="2"/>
      <c r="BZ46" s="2"/>
      <c r="CA46" s="2"/>
      <c r="CB46" s="2"/>
      <c r="CC46" s="2"/>
      <c r="CD46" s="2"/>
      <c r="CE46" s="2"/>
    </row>
    <row r="47" spans="1:83" ht="12.75" customHeight="1" x14ac:dyDescent="0.3">
      <c r="A47" s="17"/>
      <c r="B47" s="159" t="s">
        <v>147</v>
      </c>
      <c r="C47" s="295">
        <f>M.sd1RS*Molweight</f>
        <v>1.07178992405129E-3</v>
      </c>
      <c r="D47" s="446">
        <f t="shared" si="11"/>
        <v>1.579854902573957E-13</v>
      </c>
      <c r="E47" s="295">
        <f>M.sd1CS*Molweight</f>
        <v>2.4497322071202191E-7</v>
      </c>
      <c r="F47" s="446">
        <f t="shared" si="12"/>
        <v>2.0303118335337138E-18</v>
      </c>
      <c r="G47" s="296"/>
      <c r="H47" s="446"/>
      <c r="I47" s="296"/>
      <c r="J47" s="446"/>
      <c r="K47" s="296"/>
      <c r="L47" s="461"/>
      <c r="M47" s="124">
        <f>C.sd1RS*(Molweight*1000)/(FRACw.sdR*1000+FRACs.sdR*RHOsolid)</f>
        <v>4.3721307456068049E-12</v>
      </c>
      <c r="N47" s="124">
        <f>C.sd1CS*(Molweight*1000)/(FRACw.sdC*1000+FRACs.sdC*RHOsolid)</f>
        <v>6.5526030857741209E-17</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3.2447545815905511E-2</v>
      </c>
      <c r="AG47" s="163">
        <f>(kdis.sd2S.sd2D*M.sdTS+kdis.sd2A.sd2D*M.sdTA+kdis.sd2P.sd2D*M.sdTP)*Molweight</f>
        <v>6.3451429053956222E-4</v>
      </c>
      <c r="AH47" s="162">
        <f>KDEG.sdT*VOLUME.sdT*C.sdT*Molweight</f>
        <v>1.534898707275587E-10</v>
      </c>
      <c r="AI47" s="163"/>
      <c r="AJ47" s="163"/>
      <c r="AK47" s="163"/>
      <c r="AL47" s="163"/>
      <c r="AM47" s="163"/>
      <c r="AN47" s="163">
        <f>k.w3T.sdT*M.w3T*Molweight</f>
        <v>695.91606653582016</v>
      </c>
      <c r="AO47" s="162">
        <f>k.sdT.w3T*M.sdT*Molweight</f>
        <v>695.88425350414138</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4171845.3591898517</v>
      </c>
      <c r="D48" s="446">
        <f t="shared" si="11"/>
        <v>6.1494423446185453E-4</v>
      </c>
      <c r="E48" s="295">
        <f>M.sd1CA*Molweight</f>
        <v>222780.38715502693</v>
      </c>
      <c r="F48" s="446">
        <f t="shared" si="12"/>
        <v>1.8463800043343935E-6</v>
      </c>
      <c r="G48" s="296"/>
      <c r="H48" s="446"/>
      <c r="I48" s="296"/>
      <c r="J48" s="446"/>
      <c r="K48" s="296"/>
      <c r="L48" s="461"/>
      <c r="M48" s="124">
        <f>C.sd1RA*(Molweight*1000)/(FRACw.sdR*1000+FRACs.sdR*RHOsolid)</f>
        <v>1.7018123562764671E-2</v>
      </c>
      <c r="N48" s="124">
        <f>C.sd1CA*(Molweight*1000)/(FRACw.sdC*1000+FRACs.sdC*RHOsolid)</f>
        <v>5.9589837945513224E-5</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1.9261445550683024E-11</v>
      </c>
      <c r="AG48" s="163">
        <f>(kdis.s1S.s1D*M.sTS+kdis.s1A.s1D*M.sTA+kdis.s1P.s1D*M.sTP)*Molweight</f>
        <v>2.8856339600746609E-9</v>
      </c>
      <c r="AH48" s="162">
        <f>KDEG.sT*VOLUME.sT*C.sT*Molweight</f>
        <v>3.296115131195251E-21</v>
      </c>
      <c r="AI48" s="163"/>
      <c r="AJ48" s="163"/>
      <c r="AK48" s="163">
        <f>k.aT.sT*M.aT*Molweight</f>
        <v>2.4851068199920229E-13</v>
      </c>
      <c r="AL48" s="163">
        <f>k.sT.aT*M.sT*Molweight</f>
        <v>2.9053267874963309E-24</v>
      </c>
      <c r="AM48" s="163">
        <f>k.sT.w2T*M.sT*Molweight</f>
        <v>2.8666210252026784E-9</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3.9897940904222577E-7</v>
      </c>
      <c r="BX48" s="304" t="s">
        <v>158</v>
      </c>
      <c r="BY48" s="2"/>
      <c r="BZ48" s="2"/>
      <c r="CA48" s="2"/>
      <c r="CB48" s="2"/>
      <c r="CC48" s="2"/>
      <c r="CD48" s="2"/>
      <c r="CE48" s="2"/>
    </row>
    <row r="49" spans="1:83" ht="12.75" customHeight="1" thickBot="1" x14ac:dyDescent="0.35">
      <c r="A49" s="17"/>
      <c r="B49" s="159" t="s">
        <v>152</v>
      </c>
      <c r="C49" s="295">
        <f>M.sd1RP*Molweight</f>
        <v>31982464.325735819</v>
      </c>
      <c r="D49" s="446">
        <f t="shared" si="11"/>
        <v>4.7143243211710244E-3</v>
      </c>
      <c r="E49" s="295">
        <f>M.sd1CP*Molweight</f>
        <v>133234.43764967247</v>
      </c>
      <c r="F49" s="446">
        <f t="shared" si="12"/>
        <v>1.1042327590260758E-6</v>
      </c>
      <c r="G49" s="296"/>
      <c r="H49" s="446"/>
      <c r="I49" s="296"/>
      <c r="J49" s="446"/>
      <c r="K49" s="296"/>
      <c r="L49" s="461"/>
      <c r="M49" s="124">
        <f>C.sd1RP*(Molweight*1000)/(FRACw.sdR*1000+FRACs.sdR*RHOsolid)</f>
        <v>0.13046541347419011</v>
      </c>
      <c r="N49" s="124">
        <f>C.sd1CP*(Molweight*1000)/(FRACw.sdC*1000+FRACs.sdC*RHOsolid)</f>
        <v>3.5637870324647289E-5</v>
      </c>
      <c r="O49" s="124"/>
      <c r="P49" s="124"/>
      <c r="Q49" s="124"/>
      <c r="R49" s="160" t="s">
        <v>175</v>
      </c>
      <c r="S49" s="163"/>
      <c r="T49" s="163"/>
      <c r="U49" s="163"/>
      <c r="V49" s="163"/>
      <c r="W49" s="162"/>
      <c r="X49" s="17"/>
      <c r="Y49" s="156"/>
      <c r="Z49" s="17"/>
      <c r="AA49" s="927"/>
      <c r="AB49" s="928"/>
      <c r="AC49" s="912">
        <f>SUM(AC11:AC48)</f>
        <v>0</v>
      </c>
      <c r="AD49" s="913"/>
      <c r="AE49" s="913"/>
      <c r="AF49" s="914">
        <f>SUM(AF11:AF48)</f>
        <v>0.6027749107838869</v>
      </c>
      <c r="AG49" s="914"/>
      <c r="AH49" s="915">
        <f>SUM(AH11:AH48)</f>
        <v>5.2613480731709555E-7</v>
      </c>
      <c r="AI49" s="929"/>
      <c r="AJ49" s="930"/>
      <c r="AK49" s="930"/>
      <c r="AL49" s="929"/>
      <c r="AM49" s="929"/>
      <c r="AN49" s="929"/>
      <c r="AO49" s="486"/>
      <c r="AP49" s="931">
        <f>SUM(AP12:AP48)</f>
        <v>-5.520907883026904E-5</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4.8230373763072617E-7</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1.3434222978791769E-4</v>
      </c>
      <c r="BX50" s="120" t="s">
        <v>158</v>
      </c>
      <c r="BY50" s="2"/>
      <c r="BZ50" s="2"/>
      <c r="CA50" s="2"/>
      <c r="CB50" s="2"/>
      <c r="CC50" s="2"/>
      <c r="CD50" s="2"/>
      <c r="CE50" s="2"/>
    </row>
    <row r="51" spans="1:83" ht="12.75" customHeight="1" thickBot="1" x14ac:dyDescent="0.4">
      <c r="A51" s="17"/>
      <c r="B51" s="104" t="s">
        <v>220</v>
      </c>
      <c r="C51" s="295">
        <f>SUM(C52,C55:C57)</f>
        <v>1854599.2021039091</v>
      </c>
      <c r="D51" s="446">
        <f t="shared" ref="D51:D57" si="13">C51/$C$103</f>
        <v>2.7337424769570759E-4</v>
      </c>
      <c r="E51" s="295">
        <f>SUM(E52,E55:E57)</f>
        <v>119799845326.08978</v>
      </c>
      <c r="F51" s="446">
        <f t="shared" ref="F51:F57" si="14">E51/$E$103</f>
        <v>0.99288829576600435</v>
      </c>
      <c r="G51" s="296">
        <f>SUM(G52,G55:G57)</f>
        <v>625652585419.75293</v>
      </c>
      <c r="H51" s="446">
        <f t="shared" ref="H51:H57" si="15">G51/$G$103</f>
        <v>3.223961908607284E-2</v>
      </c>
      <c r="I51" s="296">
        <f>SUM(I52,I55:I57)</f>
        <v>501136243402.97369</v>
      </c>
      <c r="J51" s="446">
        <f t="shared" ref="J51:J57" si="16">I51/$I$103</f>
        <v>3.900786972658677E-2</v>
      </c>
      <c r="K51" s="296">
        <f>SUM(K52,K55:K57)</f>
        <v>1439884628945.6169</v>
      </c>
      <c r="L51" s="461">
        <f t="shared" ref="L51:L57" si="17">K51/$K$103</f>
        <v>3.0085250215799404E-2</v>
      </c>
      <c r="M51" s="459">
        <f>(M.w2RD+M.w2RS+M.w2RA+M.w2RP)*Molweight/(VOLUME.w2R)</f>
        <v>1.854599202103907E-4</v>
      </c>
      <c r="N51" s="459">
        <f>(M.w2CD+M.w2CS+M.w2CA+M.w2CP)*Molweight/(VOLUME.w2C)</f>
        <v>1.6130705379434237E-4</v>
      </c>
      <c r="O51" s="459">
        <f>(M.w2MD+M.w2MS+M.w2MA+M.w2MP)*Molweight/(VOLUME.w2M)</f>
        <v>1.6131057576273893E-4</v>
      </c>
      <c r="P51" s="459">
        <f>(M.w2AD+M.w2AS+M.w2AA+M.w2AP)*Molweight/(VOLUME.w2A)</f>
        <v>1.9652401702077398E-4</v>
      </c>
      <c r="Q51" s="459">
        <f>(M.w2TD+M.w2TS+M.w2TA+M.w2TP)*Molweight/(VOLUME.w2T)</f>
        <v>1.6133161108634363E-4</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1343422.2978791785</v>
      </c>
      <c r="D52" s="446">
        <f t="shared" si="13"/>
        <v>1.9802502859039977E-4</v>
      </c>
      <c r="E52" s="295">
        <f>M.w2CD*Molweight</f>
        <v>110827633330.78947</v>
      </c>
      <c r="F52" s="446">
        <f t="shared" si="14"/>
        <v>0.91852756305373118</v>
      </c>
      <c r="G52" s="296">
        <f>M.w2MD*Molweight</f>
        <v>578871972276.41333</v>
      </c>
      <c r="H52" s="446">
        <f t="shared" si="15"/>
        <v>2.9829033429590094E-2</v>
      </c>
      <c r="I52" s="296">
        <f>M.w2AD*Molweight</f>
        <v>463730793363.50903</v>
      </c>
      <c r="J52" s="446">
        <f t="shared" si="16"/>
        <v>3.6096272448577708E-2</v>
      </c>
      <c r="K52" s="296">
        <f>M.w2TD*Molweight</f>
        <v>1332070579959.783</v>
      </c>
      <c r="L52" s="461">
        <f t="shared" si="17"/>
        <v>2.7832560954929617E-2</v>
      </c>
      <c r="M52" s="124">
        <f>C.w2R*Molweight</f>
        <v>1.3434222978791769E-4</v>
      </c>
      <c r="N52" s="124">
        <f>C.w2C*Molweight</f>
        <v>1.4922622782131446E-4</v>
      </c>
      <c r="O52" s="124">
        <f>C.w2M*Molweight</f>
        <v>1.4924923722351867E-4</v>
      </c>
      <c r="P52" s="124">
        <f>C.w2A*Molweight</f>
        <v>1.8185521308372902E-4</v>
      </c>
      <c r="Q52" s="124">
        <f>C.w2T*Molweight</f>
        <v>1.4925160559773479E-4</v>
      </c>
      <c r="R52" s="160" t="s">
        <v>158</v>
      </c>
      <c r="S52" s="163">
        <f>F.w2R</f>
        <v>7.601113968714973E-23</v>
      </c>
      <c r="T52" s="163">
        <f>F.w2C</f>
        <v>8.4432539684796146E-23</v>
      </c>
      <c r="U52" s="163">
        <f>F.w2M</f>
        <v>8.4445558456985811E-23</v>
      </c>
      <c r="V52" s="163">
        <f>F.w2A</f>
        <v>2.1146867210081702E-28</v>
      </c>
      <c r="W52" s="162">
        <f>F.w2T</f>
        <v>7.8067346250341148E-20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1.5071188487498518E-5</v>
      </c>
      <c r="BX52" s="120" t="s">
        <v>175</v>
      </c>
      <c r="BY52" s="2"/>
      <c r="BZ52" s="2"/>
      <c r="CA52" s="2"/>
      <c r="CB52" s="2"/>
      <c r="CC52" s="2"/>
      <c r="CD52" s="2"/>
      <c r="CE52" s="2"/>
    </row>
    <row r="53" spans="1:83" ht="12.75" customHeight="1" x14ac:dyDescent="0.3">
      <c r="A53" s="17"/>
      <c r="B53" s="159" t="s">
        <v>161</v>
      </c>
      <c r="C53" s="295">
        <f>FRwD.w2R*C52</f>
        <v>1342455.7297537557</v>
      </c>
      <c r="D53" s="446">
        <f t="shared" si="13"/>
        <v>1.9788255315213022E-4</v>
      </c>
      <c r="E53" s="295">
        <f>FRw.w2C*E52</f>
        <v>110747894846.49998</v>
      </c>
      <c r="F53" s="446">
        <f t="shared" si="14"/>
        <v>0.91786669903042917</v>
      </c>
      <c r="G53" s="296">
        <f>FRw.w2M*G52</f>
        <v>578455484327.69739</v>
      </c>
      <c r="H53" s="446">
        <f t="shared" si="15"/>
        <v>2.9807571977766106E-2</v>
      </c>
      <c r="I53" s="296">
        <f>FRw.w2A*I52</f>
        <v>463397147417.36847</v>
      </c>
      <c r="J53" s="446">
        <f t="shared" si="16"/>
        <v>3.6070301831259192E-2</v>
      </c>
      <c r="K53" s="296">
        <f>FRw.w2T*K52</f>
        <v>1331112179190.7654</v>
      </c>
      <c r="L53" s="461">
        <f t="shared" si="17"/>
        <v>2.7812535929060689E-2</v>
      </c>
      <c r="M53" s="124">
        <f>M52*FRwD.w2R</f>
        <v>1.3424557297537541E-4</v>
      </c>
      <c r="N53" s="124">
        <f>N52*FRw.w2C</f>
        <v>1.4911886224050128E-4</v>
      </c>
      <c r="O53" s="124">
        <f>O52*FRw.w2M</f>
        <v>1.4914185508785541E-4</v>
      </c>
      <c r="P53" s="124">
        <f>P52*FRw.w2A</f>
        <v>1.8172437153622293E-4</v>
      </c>
      <c r="Q53" s="124">
        <f>Q52*FRw.w2T</f>
        <v>1.4914422175806897E-4</v>
      </c>
      <c r="R53" s="160" t="s">
        <v>158</v>
      </c>
      <c r="S53" s="163">
        <f>S52*FRwD.w2R</f>
        <v>7.595645104239919E-23</v>
      </c>
      <c r="T53" s="163">
        <f>T52*FRw.w2C</f>
        <v>8.4371791994560058E-23</v>
      </c>
      <c r="U53" s="163">
        <f>U52*FRw.w2M</f>
        <v>8.4384801399977825E-23</v>
      </c>
      <c r="V53" s="163">
        <f>V52*FRw.w2A</f>
        <v>2.1131652420339055E-28</v>
      </c>
      <c r="W53" s="162">
        <f>W52*FRw.w2T</f>
        <v>7.8011178202035671E-20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3.6959202254627432E-3</v>
      </c>
      <c r="BX53" s="120" t="s">
        <v>175</v>
      </c>
      <c r="BY53" s="2"/>
      <c r="BZ53" s="2"/>
      <c r="CA53" s="2"/>
      <c r="CB53" s="2"/>
      <c r="CC53" s="2"/>
      <c r="CD53" s="2"/>
      <c r="CE53" s="2"/>
    </row>
    <row r="54" spans="1:83" ht="12.75" customHeight="1" thickBot="1" x14ac:dyDescent="0.35">
      <c r="A54" s="17"/>
      <c r="B54" s="159" t="s">
        <v>163</v>
      </c>
      <c r="C54" s="295">
        <f>(1-FRwD.w2R)*C52</f>
        <v>966.5681254228349</v>
      </c>
      <c r="D54" s="446">
        <f t="shared" si="13"/>
        <v>1.4247543826955305E-7</v>
      </c>
      <c r="E54" s="295">
        <f>(1-FRw.w2C)*E52</f>
        <v>79738484.289490774</v>
      </c>
      <c r="F54" s="446">
        <f t="shared" si="14"/>
        <v>6.608640233019984E-4</v>
      </c>
      <c r="G54" s="296">
        <f>(1-FRw.w2M)*G52</f>
        <v>416487948.71599841</v>
      </c>
      <c r="H54" s="446">
        <f t="shared" si="15"/>
        <v>2.1461451823994495E-5</v>
      </c>
      <c r="I54" s="296">
        <f>(1-FRw.w2A)*I52</f>
        <v>333645946.14055043</v>
      </c>
      <c r="J54" s="446">
        <f t="shared" si="16"/>
        <v>2.5970617318510133E-5</v>
      </c>
      <c r="K54" s="296">
        <f>(1-FRw.w2T)*K52</f>
        <v>958400769.01748085</v>
      </c>
      <c r="L54" s="461">
        <f t="shared" si="17"/>
        <v>2.0025025868926405E-5</v>
      </c>
      <c r="M54" s="124">
        <f>M53*Kp.susp2R</f>
        <v>1.3424557297537542E-2</v>
      </c>
      <c r="N54" s="124">
        <f>N53*Kp.susp2C</f>
        <v>1.4911886224050128E-2</v>
      </c>
      <c r="O54" s="124">
        <f>O53*Kp.susp2M</f>
        <v>1.4914185508785541E-2</v>
      </c>
      <c r="P54" s="124">
        <f>P53*Kp.susp2A</f>
        <v>1.8172437153622292E-2</v>
      </c>
      <c r="Q54" s="124">
        <f>Q53*Kp.susp2T</f>
        <v>1.4914422175806897E-2</v>
      </c>
      <c r="R54" s="160" t="s">
        <v>164</v>
      </c>
      <c r="S54" s="163">
        <f>S52*(1-FRwD.w2R)</f>
        <v>5.4688644750534817E-26</v>
      </c>
      <c r="T54" s="163">
        <f>T52*(1-FRw.w2C)</f>
        <v>6.0747690236091456E-26</v>
      </c>
      <c r="U54" s="163">
        <f>U52*(1-FRw.w2M)</f>
        <v>6.0757057007992255E-26</v>
      </c>
      <c r="V54" s="163">
        <f>V52*(1-FRw.w2A)</f>
        <v>1.521478974264618E-31</v>
      </c>
      <c r="W54" s="162">
        <f>W52*(1-FRw.w2T)</f>
        <v>5.6168048305473284E-23</v>
      </c>
      <c r="X54" s="17"/>
      <c r="Y54" s="156"/>
      <c r="Z54" s="17"/>
      <c r="AA54" s="21" t="s">
        <v>85</v>
      </c>
      <c r="AB54" s="918" t="str">
        <f>ChemName</f>
        <v>nTiO2_10nm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0.15342956116429798</v>
      </c>
      <c r="D55" s="446">
        <f t="shared" si="13"/>
        <v>2.2616040603269115E-11</v>
      </c>
      <c r="E55" s="295">
        <f>M.w2CS*Molweight</f>
        <v>0.71281942499095152</v>
      </c>
      <c r="F55" s="446">
        <f t="shared" si="14"/>
        <v>5.9077711005528028E-12</v>
      </c>
      <c r="G55" s="296">
        <f>M.w2MS*Molweight</f>
        <v>1.6336831659217066E-2</v>
      </c>
      <c r="H55" s="446">
        <f t="shared" si="15"/>
        <v>8.4183018186217971E-16</v>
      </c>
      <c r="I55" s="296">
        <f>M.w2AS*Molweight</f>
        <v>1.3306264355067006E-4</v>
      </c>
      <c r="J55" s="446">
        <f t="shared" si="16"/>
        <v>1.0357443376782493E-17</v>
      </c>
      <c r="K55" s="296">
        <f>M.w2TS*Molweight</f>
        <v>2.5724485051393847E-4</v>
      </c>
      <c r="L55" s="461">
        <f t="shared" si="17"/>
        <v>5.3749276427132811E-18</v>
      </c>
      <c r="M55" s="124">
        <f>C.w2RS*Molweight</f>
        <v>1.534295611642978E-11</v>
      </c>
      <c r="N55" s="124">
        <f>C.w2CS*Molweight</f>
        <v>9.5979089972687032E-16</v>
      </c>
      <c r="O55" s="124">
        <f>C.w2MS*Molweight</f>
        <v>4.2120879582383737E-18</v>
      </c>
      <c r="P55" s="124">
        <f>C.w2AS*Molweight</f>
        <v>5.2181428843400025E-20</v>
      </c>
      <c r="Q55" s="124">
        <f>C.w2TS*Molweight</f>
        <v>2.8822952438536529E-20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2.3656888949090004E-7</v>
      </c>
      <c r="BX55" s="120" t="s">
        <v>175</v>
      </c>
      <c r="BY55" s="2"/>
      <c r="BZ55" s="2"/>
      <c r="CA55" s="2"/>
      <c r="CB55" s="2"/>
      <c r="CC55" s="2"/>
      <c r="CD55" s="2"/>
      <c r="CE55" s="2"/>
    </row>
    <row r="56" spans="1:83" ht="12.75" customHeight="1" x14ac:dyDescent="0.3">
      <c r="A56" s="17"/>
      <c r="B56" s="159" t="s">
        <v>150</v>
      </c>
      <c r="C56" s="295">
        <f>M.w2RA*Molweight</f>
        <v>506927.54195659561</v>
      </c>
      <c r="D56" s="446">
        <f t="shared" si="13"/>
        <v>7.4722848614087876E-5</v>
      </c>
      <c r="E56" s="295">
        <f>M.w2CA*Molweight</f>
        <v>8971860474.8931389</v>
      </c>
      <c r="F56" s="446">
        <f t="shared" si="14"/>
        <v>7.435781934876208E-2</v>
      </c>
      <c r="G56" s="296">
        <f>M.w2MA*Molweight</f>
        <v>46778970034.802864</v>
      </c>
      <c r="H56" s="446">
        <f t="shared" si="15"/>
        <v>2.4105009877790962E-3</v>
      </c>
      <c r="I56" s="296">
        <f>M.w2AA*Molweight</f>
        <v>37404821530.013344</v>
      </c>
      <c r="J56" s="446">
        <f t="shared" si="16"/>
        <v>2.9115483555551005E-3</v>
      </c>
      <c r="K56" s="296">
        <f>M.w2TA*Molweight</f>
        <v>107806454337.13467</v>
      </c>
      <c r="L56" s="461">
        <f t="shared" si="17"/>
        <v>2.2525305766934113E-3</v>
      </c>
      <c r="M56" s="124">
        <f>C.w2RA*Molweight</f>
        <v>5.0692754195659499E-5</v>
      </c>
      <c r="N56" s="124">
        <f>C.w2CA*Molweight</f>
        <v>1.2080352660887351E-5</v>
      </c>
      <c r="O56" s="124">
        <f>C.w2MA*Molweight</f>
        <v>1.2060914900302629E-5</v>
      </c>
      <c r="P56" s="124">
        <f>C.w2AA*Molweight</f>
        <v>1.4668557462750331E-5</v>
      </c>
      <c r="Q56" s="124">
        <f>C.w2TA*Molweight</f>
        <v>1.2079154547578117E-5</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6.6267488015168272E-6</v>
      </c>
      <c r="BX56" s="120" t="s">
        <v>175</v>
      </c>
      <c r="BY56" s="2"/>
      <c r="BZ56" s="2"/>
      <c r="CA56" s="2"/>
      <c r="CB56" s="2"/>
      <c r="CC56" s="2"/>
      <c r="CD56" s="2"/>
      <c r="CE56" s="2"/>
    </row>
    <row r="57" spans="1:83" ht="12.75" customHeight="1" thickBot="1" x14ac:dyDescent="0.35">
      <c r="A57" s="17"/>
      <c r="B57" s="159" t="s">
        <v>152</v>
      </c>
      <c r="C57" s="295">
        <f>M.w2RP*Molweight</f>
        <v>4249.2088385739025</v>
      </c>
      <c r="D57" s="446">
        <f t="shared" si="13"/>
        <v>6.2634787517934489E-7</v>
      </c>
      <c r="E57" s="295">
        <f>M.w2CP*Molweight</f>
        <v>351519.69434561959</v>
      </c>
      <c r="F57" s="446">
        <f t="shared" si="14"/>
        <v>2.9133576032339009E-6</v>
      </c>
      <c r="G57" s="296">
        <f>M.w2MP*Molweight</f>
        <v>1643108.5203783223</v>
      </c>
      <c r="H57" s="446">
        <f t="shared" si="15"/>
        <v>8.46687028049887E-8</v>
      </c>
      <c r="I57" s="296">
        <f>M.w2AP*Molweight</f>
        <v>628509.45116935601</v>
      </c>
      <c r="J57" s="446">
        <f t="shared" si="16"/>
        <v>4.8922453955157916E-8</v>
      </c>
      <c r="K57" s="296">
        <f>M.w2TP*Molweight</f>
        <v>7594648.6989987744</v>
      </c>
      <c r="L57" s="461">
        <f t="shared" si="17"/>
        <v>1.5868417636889939E-7</v>
      </c>
      <c r="M57" s="124">
        <f>C.w2RP*Molweight</f>
        <v>4.2492088385738977E-7</v>
      </c>
      <c r="N57" s="124">
        <f>C.w2CP*Molweight</f>
        <v>4.7331118075518134E-10</v>
      </c>
      <c r="O57" s="124">
        <f>C.w2MP*Molweight</f>
        <v>4.2363891341560675E-10</v>
      </c>
      <c r="P57" s="124">
        <f>C.w2AP*Molweight</f>
        <v>2.4647429457621803E-10</v>
      </c>
      <c r="Q57" s="124">
        <f>C.w2TP*Molweight</f>
        <v>8.5094103070014294E-10</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2.3656888949090004E-7</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18772018390806.242</v>
      </c>
      <c r="H59" s="446">
        <f t="shared" ref="H59:H65" si="18">G59/$G$103</f>
        <v>0.96731434745101263</v>
      </c>
      <c r="I59" s="296">
        <f>SUM(I60,I63:I65)</f>
        <v>12340263931771.24</v>
      </c>
      <c r="J59" s="446">
        <f t="shared" ref="J59:J65" si="19">I59/$I$103</f>
        <v>0.96055197399712489</v>
      </c>
      <c r="K59" s="296">
        <f>SUM(K60,K63:K65)</f>
        <v>46398572526383.555</v>
      </c>
      <c r="L59" s="461">
        <f t="shared" ref="L59:L65" si="20">K59/$K$103</f>
        <v>0.96946146659982668</v>
      </c>
      <c r="M59" s="459"/>
      <c r="N59" s="459"/>
      <c r="O59" s="459">
        <f>(M.w3MD+M.w3MS+M.w3MA+M.w3MP)*Molweight/(VOLUME.w3M)</f>
        <v>1.6133155286801311E-4</v>
      </c>
      <c r="P59" s="459">
        <f>(M.w3AD+M.w3AS+M.w3AA+M.w3AP)*Molweight/(VOLUME.w3A)</f>
        <v>1.6131063963099662E-4</v>
      </c>
      <c r="Q59" s="459">
        <f>(M.w3TD+M.w3TS+M.w3TA+M.w3TP)*Molweight/(VOLUME.w3T)</f>
        <v>1.7329065369330924E-4</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17366181041439.346</v>
      </c>
      <c r="H60" s="446">
        <f t="shared" si="18"/>
        <v>0.89487213000192278</v>
      </c>
      <c r="I60" s="296">
        <f>M.w3AD*Molweight</f>
        <v>11417611288276.842</v>
      </c>
      <c r="J60" s="446">
        <f t="shared" si="19"/>
        <v>0.88873375171903757</v>
      </c>
      <c r="K60" s="296">
        <f>M.w3TD*Molweight</f>
        <v>42917665715232.336</v>
      </c>
      <c r="L60" s="461">
        <f t="shared" si="20"/>
        <v>0.89673067255832706</v>
      </c>
      <c r="M60" s="124"/>
      <c r="N60" s="124"/>
      <c r="O60" s="124">
        <f>C.w3M*Molweight</f>
        <v>1.4924942520696771E-4</v>
      </c>
      <c r="P60" s="124">
        <f>C.w3A*Molweight</f>
        <v>1.4924982076178878E-4</v>
      </c>
      <c r="Q60" s="124">
        <f>C.w3T*Molweight</f>
        <v>1.6029006803074637E-4</v>
      </c>
      <c r="R60" s="160" t="s">
        <v>158</v>
      </c>
      <c r="S60" s="163"/>
      <c r="T60" s="163"/>
      <c r="U60" s="163">
        <f>F.w3M</f>
        <v>8.4445664818449567E-23</v>
      </c>
      <c r="V60" s="163">
        <f>F.w3A</f>
        <v>1.7355378970218981E-28</v>
      </c>
      <c r="W60" s="162">
        <f>F.w3T</f>
        <v>8.3841109724295885E-20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17353686387240.531</v>
      </c>
      <c r="H61" s="446">
        <f t="shared" si="18"/>
        <v>0.89422828563626455</v>
      </c>
      <c r="I61" s="296">
        <f>FRw.w3A*I60</f>
        <v>11409396522780.439</v>
      </c>
      <c r="J61" s="446">
        <f t="shared" si="19"/>
        <v>0.88809432380589737</v>
      </c>
      <c r="K61" s="296">
        <f>FRw.w3T*K60</f>
        <v>42886787228427.867</v>
      </c>
      <c r="L61" s="461">
        <f t="shared" si="20"/>
        <v>0.89608549100480361</v>
      </c>
      <c r="M61" s="124"/>
      <c r="N61" s="124"/>
      <c r="O61" s="124">
        <f>O60*FRw.w3M</f>
        <v>1.4914204293605372E-4</v>
      </c>
      <c r="P61" s="124">
        <f>P60*FRw.w3A</f>
        <v>1.4914243820628024E-4</v>
      </c>
      <c r="Q61" s="124">
        <f>Q60*FRw.w3T</f>
        <v>1.601747422163506E-4</v>
      </c>
      <c r="R61" s="160" t="s">
        <v>158</v>
      </c>
      <c r="S61" s="163"/>
      <c r="T61" s="163"/>
      <c r="U61" s="163">
        <f>U60*FRw.w3M</f>
        <v>8.4384907684916417E-23</v>
      </c>
      <c r="V61" s="163">
        <f>V60*FRw.w3A</f>
        <v>1.7342892087915681E-28</v>
      </c>
      <c r="W61" s="162">
        <f>W60*FRw.w3T</f>
        <v>8.3780787557254656E-20</v>
      </c>
      <c r="X61" s="17"/>
      <c r="Y61" s="156"/>
      <c r="Z61" s="17"/>
      <c r="AA61" s="312" t="s">
        <v>141</v>
      </c>
      <c r="AB61" s="162" t="s">
        <v>110</v>
      </c>
      <c r="AC61" s="161">
        <f>E.aRS*Molweight</f>
        <v>0.3170979198376459</v>
      </c>
      <c r="AD61" s="163">
        <f>k.aC.aR*(M.aCS+M.aCA+M.aCP)*Molweight</f>
        <v>3.791800870009461E-2</v>
      </c>
      <c r="AE61" s="163">
        <f>k.aR.aC*(M.aRS+M.aRA+M.aRP)*Molweight</f>
        <v>0.31921385008850078</v>
      </c>
      <c r="AF61" s="163">
        <f>kesc.aR*VOLUME.aR*(C.aRS+C.aRA+C.aRP)*Molweight</f>
        <v>1.2413431341464275E-5</v>
      </c>
      <c r="AG61" s="163"/>
      <c r="AH61" s="162">
        <f>(kdegS.a*C.aRS+kdegA.a*C.aRA+kdegP.a*C.aRP)*VOLUME.aR*Molweight</f>
        <v>0</v>
      </c>
      <c r="AI61" s="163">
        <f>SUM(AI62:AI64)</f>
        <v>2.5697090777826352E-3</v>
      </c>
      <c r="AJ61" s="163">
        <f>SUM(AJ62:AJ64)</f>
        <v>0</v>
      </c>
      <c r="AK61" s="163">
        <f>SUM(AK67:AK69)</f>
        <v>3.3219955940115606E-2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12494654198.814873</v>
      </c>
      <c r="H62" s="446">
        <f t="shared" si="18"/>
        <v>6.4384436565819759E-4</v>
      </c>
      <c r="I62" s="296">
        <f>(1-FRw.w3A)*I60</f>
        <v>8214765496.4030275</v>
      </c>
      <c r="J62" s="446">
        <f t="shared" si="19"/>
        <v>6.3942791314033258E-4</v>
      </c>
      <c r="K62" s="296">
        <f>(1-FRw.w3T)*K60</f>
        <v>30878486804.47224</v>
      </c>
      <c r="L62" s="461">
        <f t="shared" si="20"/>
        <v>6.4518155352354578E-4</v>
      </c>
      <c r="M62" s="124"/>
      <c r="N62" s="124"/>
      <c r="O62" s="124">
        <f>O61*Kp.susp3M</f>
        <v>1.4914204293605373E-2</v>
      </c>
      <c r="P62" s="124">
        <f>P61*Kp.susp3A</f>
        <v>1.4914243820628025E-2</v>
      </c>
      <c r="Q62" s="124">
        <f>Q61*Kp.susp3T</f>
        <v>1.6017474221635061E-2</v>
      </c>
      <c r="R62" s="160" t="s">
        <v>164</v>
      </c>
      <c r="S62" s="163"/>
      <c r="T62" s="163"/>
      <c r="U62" s="163">
        <f>U60*(1-FRw.w3M)</f>
        <v>6.0757133533148043E-26</v>
      </c>
      <c r="V62" s="163">
        <f>V60*(1-FRw.w3A)</f>
        <v>1.248688230330098E-31</v>
      </c>
      <c r="W62" s="162">
        <f>W60*(1-FRw.w3T)</f>
        <v>6.0322167041231517E-23</v>
      </c>
      <c r="X62" s="17"/>
      <c r="Y62" s="156"/>
      <c r="Z62" s="17"/>
      <c r="AA62" s="312" t="s">
        <v>143</v>
      </c>
      <c r="AB62" s="162" t="s">
        <v>144</v>
      </c>
      <c r="AC62" s="161">
        <f>E.w0RS*Molweight</f>
        <v>0</v>
      </c>
      <c r="AD62" s="163">
        <f>k.w1R.w0R*(M.w1RS+M.w1RA+M.w1RP)*Molweight</f>
        <v>0</v>
      </c>
      <c r="AE62" s="163">
        <f>(k.w0R.w1R+k.w0R.w2R)*(M.w0RS+M.w0RA+M.w0RP)*Molweight</f>
        <v>1.9078464713964471E-2</v>
      </c>
      <c r="AF62" s="163"/>
      <c r="AG62" s="163">
        <f>(kdis.w0S.w0D*M.w0RS+kdis.w0A.w0D*M.w0RA+kdis.w0P.w0D*M.w0RP)*Molweight</f>
        <v>7.9584452806823223E-7</v>
      </c>
      <c r="AH62" s="162">
        <f>(kdegS.w0*M.w0RS+kdegA.w0*M.w0RA+kdegP.w0*M.w0RP)*Molweight</f>
        <v>0</v>
      </c>
      <c r="AI62" s="163">
        <f>((k.aRS.w0RS*M.aRS+k.aRA.w0RA*M.aRA+k.aRP.w0RP*M.aRP)+(k.cwRS.w0RS*M.cwRS+k.cwRA.w0RA*M.cwRA+k.cwRP.w0RP*M.cwRP))*Molweight</f>
        <v>1.9026922777154662E-4</v>
      </c>
      <c r="AJ62" s="163"/>
      <c r="AK62" s="163"/>
      <c r="AL62" s="163"/>
      <c r="AM62" s="163"/>
      <c r="AN62" s="163">
        <f>(k.w0RS.sd0RS*M.w0RS+k.w0RA.sd0RA*M.w0RA+k.w0RP.sd0RP*M.w0RP)*Molweight</f>
        <v>1.0094954745089592E-2</v>
      </c>
      <c r="AO62" s="162">
        <f>(k.sd0RS.w0RS*M.sd0RS+k.sd0RA.w0RA*M.sd0RA+k.sd0RP.w0RP*M.sd0RP)*Molweight</f>
        <v>0</v>
      </c>
      <c r="AP62" s="909">
        <f>SUM(AC62,AD62,AI62,AM62,AO62)-SUM(AF62,AE62,AH62,AJ62,AN62,AG62)</f>
        <v>-2.8983946075810584E-2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1.3489446015920957E-6</v>
      </c>
      <c r="H63" s="446">
        <f t="shared" si="18"/>
        <v>6.9510557675337011E-20</v>
      </c>
      <c r="I63" s="296">
        <f>M.w3AS*Molweight</f>
        <v>1.2860950699179812E-8</v>
      </c>
      <c r="J63" s="446">
        <f t="shared" si="19"/>
        <v>1.0010816340622396E-21</v>
      </c>
      <c r="K63" s="296">
        <f>M.w3TS*Molweight</f>
        <v>1.8537819639436917E-8</v>
      </c>
      <c r="L63" s="461">
        <f t="shared" si="20"/>
        <v>3.8733307592582424E-22</v>
      </c>
      <c r="M63" s="124"/>
      <c r="N63" s="124"/>
      <c r="O63" s="124">
        <f>C.w3MS*Molweight</f>
        <v>1.1593176757932483E-23</v>
      </c>
      <c r="P63" s="124">
        <f>C.w3AS*Molweight</f>
        <v>1.6811700260365768E-25</v>
      </c>
      <c r="Q63" s="124">
        <f>C.w3TS*Molweight</f>
        <v>6.9235554208914723E-26</v>
      </c>
      <c r="R63" s="160" t="s">
        <v>234</v>
      </c>
      <c r="S63" s="163"/>
      <c r="T63" s="163"/>
      <c r="U63" s="163"/>
      <c r="V63" s="163"/>
      <c r="W63" s="162"/>
      <c r="X63" s="17"/>
      <c r="Y63" s="156"/>
      <c r="Z63" s="17"/>
      <c r="AA63" s="312" t="s">
        <v>146</v>
      </c>
      <c r="AB63" s="162" t="s">
        <v>111</v>
      </c>
      <c r="AC63" s="161">
        <f>E.w1RS*Molweight</f>
        <v>0.3170979198376459</v>
      </c>
      <c r="AD63" s="163">
        <f>(WATERflow.w0R.w1R*(C.w0RS+C.w0RA+C.w0RP)+WATERflow.w1C.w1R*(C.w1CS+C.w1CA+C.w1CP))*Molweight</f>
        <v>1.9078464713964467E-2</v>
      </c>
      <c r="AE63" s="163">
        <f>(WATERflow.w1R.w0R+WATERflow.w1R.w2R)*(C.w1RS+C.w1RA+C.w1RP)*Molweight</f>
        <v>0.55240833643419007</v>
      </c>
      <c r="AF63" s="163"/>
      <c r="AG63" s="163">
        <f>(kdis.w1S.w1D*M.w1RS+kdis.w1A.w1D*M.w1RA+kdis.w1P.w1D*M.w1RP)*Molweight</f>
        <v>7.6042953283997963E-7</v>
      </c>
      <c r="AH63" s="162">
        <f>(kdegS.w1*M.w1RS+kdegA.w1*M.w1RA+kdegP.w1*M.w1RP)*Molweight</f>
        <v>0</v>
      </c>
      <c r="AI63" s="163">
        <f>((k.aRS.w1RS*M.aRS+k.aRA.w1RA*M.aRA+k.aRP.w1RP*M.aRP)+(k.cwRS.w1RS*M.cwRS+k.cwRA.w1RA*M.cwRA+k.cwRP.w1RP*M.cwRP))*Molweight</f>
        <v>2.0929615054870129E-3</v>
      </c>
      <c r="AJ63" s="163"/>
      <c r="AK63" s="163"/>
      <c r="AL63" s="163"/>
      <c r="AM63" s="163">
        <f>(k.s1RS.w1RS*M.s1RS+k.s1RA.w1RA*M.s1RA+k.s1RP.w1RP*M.s1RP+k.s2RS.w1RS*M.s2RS+k.s2RA.w1RA*M.s2RA+k.s2RP.w1RP*M.s2RP+k.s3RS.w1RS*M.s3RS+k.s3RA.w1RA*M.s3RA+k.s3RP.w1RP*M.s3RP)*Molweight</f>
        <v>0.31882340683391652</v>
      </c>
      <c r="AN63" s="163">
        <f>(k.w1RS.sd1RS*M.w1RS+k.w1RA.sd1RA*M.w1RA+k.w1RP.sd1RP*M.w1RP)*Molweight</f>
        <v>1.0633170177972204</v>
      </c>
      <c r="AO63" s="162">
        <f>(k.sd1RS.w1RS*M.sd1RS+k.sd1RA.w1RA*M.sd1RA+k.sd1RP.w1RP*M.sd1RP)*Molweight</f>
        <v>0.95863336176992942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1405737721523.0391</v>
      </c>
      <c r="H64" s="446">
        <f t="shared" si="18"/>
        <v>7.2437083667481431E-2</v>
      </c>
      <c r="I64" s="296">
        <f>M.w3AA*Molweight</f>
        <v>922620273299.61243</v>
      </c>
      <c r="J64" s="446">
        <f t="shared" si="19"/>
        <v>7.1815702619296137E-2</v>
      </c>
      <c r="K64" s="296">
        <f>M.w3TA*Molweight</f>
        <v>3480367246590.9272</v>
      </c>
      <c r="L64" s="461">
        <f t="shared" si="20"/>
        <v>7.2719520266866872E-2</v>
      </c>
      <c r="M64" s="124"/>
      <c r="N64" s="124"/>
      <c r="O64" s="124">
        <f>C.w3MA*Molweight</f>
        <v>1.2081271433738138E-5</v>
      </c>
      <c r="P64" s="124">
        <f>C.w3AA*Molweight</f>
        <v>1.2060395729406698E-5</v>
      </c>
      <c r="Q64" s="124">
        <f>C.w3TA*Molweight</f>
        <v>1.2998570482132315E-5</v>
      </c>
      <c r="R64" s="160" t="s">
        <v>234</v>
      </c>
      <c r="S64" s="163"/>
      <c r="T64" s="163"/>
      <c r="U64" s="163"/>
      <c r="V64" s="163"/>
      <c r="W64" s="162"/>
      <c r="X64" s="17"/>
      <c r="Y64" s="156"/>
      <c r="Z64" s="17"/>
      <c r="AA64" s="312" t="s">
        <v>148</v>
      </c>
      <c r="AB64" s="162" t="s">
        <v>112</v>
      </c>
      <c r="AC64" s="161">
        <f>E.w2RS*Molweight</f>
        <v>0</v>
      </c>
      <c r="AD64" s="163">
        <f>(k.w1R.w2R*(M.w1RS+M.w1RA+M.w1RP)+k.w2C.w2R*(M.w2CS+M.w2CA+M.w2CP))*Molweight</f>
        <v>0.7013490956270535</v>
      </c>
      <c r="AE64" s="163">
        <f>k.w2R.w2C*(M.w2RS+M.w2RA+M.w2RP)*Molweight</f>
        <v>0.70023795803983369</v>
      </c>
      <c r="AF64" s="163"/>
      <c r="AG64" s="163">
        <f>(kdis.w2S.w2D*M.w2RS+kdis.w2A.w2D*M.w2RA+kdis.w2P.w2D*M.w2RP)*Molweight</f>
        <v>5.111769042247307E-8</v>
      </c>
      <c r="AH64" s="162">
        <f>(kdegS.w2*M.w2RS+kdegA.w2*M.w2RA+kdegP.w2*M.w2RP)*Molweight</f>
        <v>0</v>
      </c>
      <c r="AI64" s="163">
        <f>((k.aRS.w2RS*M.aRS+k.aRA.w2RA*M.aRA+k.aRP.w2RP*M.aRP)+(k.cwRS.w2RS*M.cwRS+k.cwRA.w2RA*M.cwRA+k.cwRP.w2RP*M.cwRP))*Molweight</f>
        <v>2.8647834452407583E-4</v>
      </c>
      <c r="AJ64" s="163"/>
      <c r="AK64" s="163"/>
      <c r="AL64" s="163"/>
      <c r="AM64" s="163"/>
      <c r="AN64" s="163">
        <f>(k.w2RS.sd2RS*M.w2RS+k.w2RA.sd2RA*M.w2RA+k.w2RP.sd2RP*M.w2RP)*Molweight</f>
        <v>1.4983847352535957E-2</v>
      </c>
      <c r="AO64" s="162">
        <f>(k.sd2RS.w2RS*M.sd2RS+k.sd2RA.w2RA*M.sd2RA+k.sd2RP.w2RP*M.sd2RP)*Molweight</f>
        <v>1.3586282538482465E-2</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nTiO2_10nm</v>
      </c>
      <c r="BU64" s="2"/>
      <c r="BV64" s="2" t="s">
        <v>81</v>
      </c>
      <c r="BW64" s="2" t="str">
        <f>CONCATENATE(version!$B$2," ",version!$B$3," ",version!$C$3)</f>
        <v>SimpleBox4plastics vs 4.02-plastic 45338</v>
      </c>
      <c r="BX64" s="2"/>
      <c r="BY64" s="2"/>
      <c r="BZ64" s="2"/>
      <c r="CA64" s="2"/>
      <c r="CB64" s="112"/>
      <c r="CC64" s="2"/>
      <c r="CD64" s="112">
        <f>AF22</f>
        <v>2.4752741652414545E-20</v>
      </c>
      <c r="CE64" s="2"/>
    </row>
    <row r="65" spans="1:83" ht="12.75" customHeight="1" x14ac:dyDescent="0.3">
      <c r="A65" s="17"/>
      <c r="B65" s="454" t="s">
        <v>152</v>
      </c>
      <c r="C65" s="295"/>
      <c r="D65" s="446"/>
      <c r="E65" s="296"/>
      <c r="F65" s="446"/>
      <c r="G65" s="296">
        <f>M.w3MP*Molweight</f>
        <v>99627843.858261257</v>
      </c>
      <c r="H65" s="446">
        <f t="shared" si="18"/>
        <v>5.133781608529859E-6</v>
      </c>
      <c r="I65" s="296">
        <f>M.w3AP*Molweight</f>
        <v>32370194.786044572</v>
      </c>
      <c r="J65" s="446">
        <f t="shared" si="19"/>
        <v>2.5196587911182245E-6</v>
      </c>
      <c r="K65" s="296">
        <f>M.w3TP*Molweight</f>
        <v>539564560.28636551</v>
      </c>
      <c r="L65" s="461">
        <f t="shared" si="20"/>
        <v>1.1273774632680095E-5</v>
      </c>
      <c r="M65" s="124"/>
      <c r="N65" s="124"/>
      <c r="O65" s="124">
        <f>C.w3MP*Molweight</f>
        <v>8.5622730725733664E-10</v>
      </c>
      <c r="P65" s="124">
        <f>C.w3AP*Molweight</f>
        <v>4.2313980112476565E-10</v>
      </c>
      <c r="Q65" s="124">
        <f>C.w3TP*Molweight</f>
        <v>2.0151804305746615E-9</v>
      </c>
      <c r="R65" s="160" t="s">
        <v>234</v>
      </c>
      <c r="S65" s="163"/>
      <c r="T65" s="163"/>
      <c r="U65" s="163"/>
      <c r="V65" s="163"/>
      <c r="W65" s="162"/>
      <c r="X65" s="17"/>
      <c r="Y65" s="156"/>
      <c r="Z65" s="17"/>
      <c r="AA65" s="312" t="s">
        <v>151</v>
      </c>
      <c r="AB65" s="162" t="s">
        <v>113</v>
      </c>
      <c r="AC65" s="161"/>
      <c r="AD65" s="163"/>
      <c r="AE65" s="163"/>
      <c r="AF65" s="163">
        <f>kbur.sd1R*(M.sd1RS+M.sd1RA+M.sd1RP)*Molweight</f>
        <v>0.1046800405963223</v>
      </c>
      <c r="AG65" s="163">
        <f>(kdis.sd1S.sd1D*M.sd1RS+kdis.sd1A.sd1D*M.sd1RA+kdis.sd1P.sd1D*M.sd1RP)*Molweight</f>
        <v>3.6154309685997457E-6</v>
      </c>
      <c r="AH65" s="162">
        <f>(kdegS.sd1*M.sd1RS+kdegA.sd1*M.sd1RA+kdegP.sd1*M.sd1RP)*Molweight</f>
        <v>0</v>
      </c>
      <c r="AI65" s="163"/>
      <c r="AJ65" s="163"/>
      <c r="AK65" s="163"/>
      <c r="AL65" s="163"/>
      <c r="AM65" s="163"/>
      <c r="AN65" s="163">
        <f>AN63</f>
        <v>1.0633170177972204</v>
      </c>
      <c r="AO65" s="162">
        <f>AO63</f>
        <v>0.95863336176992942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45407</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1.3974119733772385E-3</v>
      </c>
      <c r="AG66" s="163">
        <f>(kdis.sd2S.sd2D*M.sd2RS+kdis.sd2A.sd2D*M.sd2RA+kdis.sd2P.sd2D*M.sd2RP)*Molweight</f>
        <v>1.5284067625310409E-7</v>
      </c>
      <c r="AH66" s="162">
        <f>(kdegS.sd2*M.sd2RS+kdegA.sd2*M.sd2RA+kdegP.sd2*M.sd2RP)*Molweight</f>
        <v>0</v>
      </c>
      <c r="AI66" s="163"/>
      <c r="AJ66" s="163"/>
      <c r="AK66" s="163"/>
      <c r="AL66" s="163"/>
      <c r="AM66" s="163"/>
      <c r="AN66" s="163">
        <f>AN64</f>
        <v>1.4983847352535957E-2</v>
      </c>
      <c r="AO66" s="162">
        <f>AO64</f>
        <v>1.3586282538482465E-2</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1672547.6513240878</v>
      </c>
      <c r="D67" s="446">
        <f t="shared" ref="D67:D73" si="21">C67/$C$103</f>
        <v>2.4653922820480514E-4</v>
      </c>
      <c r="E67" s="295">
        <f>SUM(E68,E71:E73)</f>
        <v>824282858.51465392</v>
      </c>
      <c r="F67" s="446">
        <f t="shared" ref="F67:F73" si="22">E67/$E$103</f>
        <v>6.8315681075550696E-3</v>
      </c>
      <c r="G67" s="296">
        <f>SUM(G68,G71:G73)</f>
        <v>8655115653.7715282</v>
      </c>
      <c r="H67" s="446">
        <f t="shared" ref="H67:H73" si="23">G67/$G$103</f>
        <v>4.4599453167174695E-4</v>
      </c>
      <c r="I67" s="296">
        <f>SUM(I68,I71:I73)</f>
        <v>5654614343.4866686</v>
      </c>
      <c r="J67" s="446">
        <f t="shared" ref="J67:J73" si="24">I67/$I$103</f>
        <v>4.4014868724521409E-4</v>
      </c>
      <c r="K67" s="296">
        <f>SUM(K68,K71:K73)</f>
        <v>21694129978.151489</v>
      </c>
      <c r="L67" s="461">
        <f t="shared" ref="L67:L73" si="25">K67/$K$103</f>
        <v>4.5328168346702537E-4</v>
      </c>
      <c r="M67" s="459">
        <f>((M.sd2RD+M.sd2RS+M.sd2RA+M.sd2RP)*Molweight*1000/(VOLUME.sd2R))/ (FRACw.sdR*1000+FRACs.sdR*RHOsolid)</f>
        <v>4.2885837213438104E-2</v>
      </c>
      <c r="N67" s="459">
        <f>((M.sd2CD+M.sd2CS+M.sd2CA+M.sd2CP)*Molweight*1000/(VOLUME.sd2C))/ (FRACw.sdC*1000+FRACs.sdC*RHOsolid)</f>
        <v>5.6916575090367504E-3</v>
      </c>
      <c r="O67" s="459">
        <f>((M.sdMD+M.sdMS+M.sdMA+M.sdMP)*Molweight*1000/(VOLUME.sdM))/(FRACw.sdM*1000+FRACs.sdM*RHOsolid)</f>
        <v>5.7218684156770125E-3</v>
      </c>
      <c r="P67" s="459">
        <f xml:space="preserve"> ((M.sdAD+M.sdAS+M.sdAA+M.sdAP)*Molweight*1000/(VOLUME.sdA))/(FRACw.sdA*1000+FRACs.sdA*RHOsolid)</f>
        <v>5.685886720449139E-3</v>
      </c>
      <c r="Q67" s="459">
        <f>((M.sdTD+M.sdTS+M.sdTA+M.sdTP)*Molweight*1000/(VOLUME.sdT))/(FRACw.sdT*1000+FRACs.sdT*RHOsolid)</f>
        <v>6.232602162795804E-3</v>
      </c>
      <c r="R67" s="160" t="s">
        <v>175</v>
      </c>
      <c r="S67" s="163"/>
      <c r="T67" s="163"/>
      <c r="U67" s="163"/>
      <c r="V67" s="163"/>
      <c r="W67" s="162"/>
      <c r="X67" s="17"/>
      <c r="Y67" s="156"/>
      <c r="Z67" s="17"/>
      <c r="AA67" s="312" t="s">
        <v>155</v>
      </c>
      <c r="AB67" s="162" t="s">
        <v>115</v>
      </c>
      <c r="AC67" s="161">
        <f>E.s1RS*Molweight</f>
        <v>0</v>
      </c>
      <c r="AD67" s="163"/>
      <c r="AE67" s="163"/>
      <c r="AF67" s="163">
        <f>kleach.s1R*(M.s1RS+M.s1RA)*Molweight</f>
        <v>5.2360794952545123E-5</v>
      </c>
      <c r="AG67" s="163">
        <f>(kdis.s1S.s1D*M.s1RS+kdis.s1A.s1D*M.s1RA+kdis.s1P.s1D*M.s1RP)*Molweight</f>
        <v>5.8643140951002623E-6</v>
      </c>
      <c r="AH67" s="162">
        <f>(kdegS.s1*M.s1RS+kdegA.s1*M.s1RA+kdegP.s1*M.s1RP)*Molweight</f>
        <v>0</v>
      </c>
      <c r="AI67" s="163"/>
      <c r="AJ67" s="163"/>
      <c r="AK67" s="163">
        <f>((k.aRS.s1RS*M.aRS+k.aRA.s1RA*M.aRA+k.aRP.s1RP*M.aRP)+(k.cwRS.s1RS*M.cwRS+k.cwRA.s1RA*M.cwRA+k.cwRP.s1RP*M.cwRP))*Molweight</f>
        <v>9.2467918596198101E-3</v>
      </c>
      <c r="AL67" s="163"/>
      <c r="AM67" s="163">
        <f>(k.s1RS.w1RS*M.s1RS+k.s1RA.w1RA*M.s1RA+k.s1RP.w1RP*M.s1RP)*Molweight</f>
        <v>8.422852854691151E-3</v>
      </c>
      <c r="AN67" s="163"/>
      <c r="AO67" s="162"/>
      <c r="AP67" s="909">
        <f>SUM(AC67,AD67,AK67)-SUM(AE67,AF67,AH67,AL67,AM67,AP66,AG67)</f>
        <v>7.6571389588101467E-4</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5.6001523146783326E-22</v>
      </c>
      <c r="BU67" s="113"/>
      <c r="BV67" s="113"/>
      <c r="BW67" s="113"/>
      <c r="BX67" s="2"/>
      <c r="BY67" s="2"/>
      <c r="BZ67" s="2"/>
      <c r="CA67" s="2"/>
      <c r="CB67" s="113"/>
      <c r="CC67" s="113"/>
      <c r="CD67" s="113"/>
      <c r="CE67" s="2"/>
    </row>
    <row r="68" spans="1:83" ht="12.75" customHeight="1" x14ac:dyDescent="0.35">
      <c r="A68" s="17"/>
      <c r="B68" s="443" t="s">
        <v>140</v>
      </c>
      <c r="C68" s="295">
        <f>M.sd2RD*Molweight</f>
        <v>144140.88879304711</v>
      </c>
      <c r="D68" s="446">
        <f t="shared" si="21"/>
        <v>2.1246858615752905E-5</v>
      </c>
      <c r="E68" s="295">
        <f>M.sd2CD*Molweight</f>
        <v>594542520.56953764</v>
      </c>
      <c r="F68" s="446">
        <f t="shared" si="22"/>
        <v>4.9275047760028723E-3</v>
      </c>
      <c r="G68" s="296">
        <f>M.sdMD*Molweight</f>
        <v>6210805555.3713999</v>
      </c>
      <c r="H68" s="446">
        <f t="shared" si="23"/>
        <v>3.2004024276268463E-4</v>
      </c>
      <c r="I68" s="296">
        <f>M.sdAD*Molweight</f>
        <v>4083371126.7843723</v>
      </c>
      <c r="J68" s="446">
        <f t="shared" si="24"/>
        <v>3.1784491953184776E-4</v>
      </c>
      <c r="K68" s="296">
        <f>M.sdTD*Molweight</f>
        <v>15348987072.755867</v>
      </c>
      <c r="L68" s="461">
        <f t="shared" si="25"/>
        <v>3.2070494215989827E-4</v>
      </c>
      <c r="M68" s="124">
        <f>C.sd2R*(Molweight*1000)/(FRACw.sdR*1000+FRACs.sdR*RHOsolid)</f>
        <v>3.6959202254627432E-3</v>
      </c>
      <c r="N68" s="124">
        <f>C.sd2C*(Molweight*1000)/(FRACw.sdC*1000+FRACs.sdC*RHOsolid)</f>
        <v>4.1053048315708553E-3</v>
      </c>
      <c r="O68" s="124">
        <f>C.sdM*(Molweight*1000)/(FRACw.sdM*1000+FRACs.sdM*RHOsolid)</f>
        <v>4.1059430705244534E-3</v>
      </c>
      <c r="P68" s="124">
        <f>C.sdA*(Molweight*1000)/(FRACw.sdA*1000+FRACs.sdA*RHOsolid)</f>
        <v>4.105953873086347E-3</v>
      </c>
      <c r="Q68" s="124">
        <f>C.sdT*(Molweight*1000)/(FRACw.sdT*1000+FRACs.sdT*RHOsolid)</f>
        <v>4.4096781075216168E-3</v>
      </c>
      <c r="R68" s="160" t="s">
        <v>175</v>
      </c>
      <c r="S68" s="163">
        <f>F.sd2R</f>
        <v>1.0536853136515171E-22</v>
      </c>
      <c r="T68" s="163">
        <f>F.sd2C</f>
        <v>1.1703984786487732E-22</v>
      </c>
      <c r="U68" s="163">
        <f>F.sdM</f>
        <v>1.1705804368543031E-22</v>
      </c>
      <c r="V68" s="163">
        <f>F.sdA</f>
        <v>2.4057915521864971E-28</v>
      </c>
      <c r="W68" s="162">
        <f>F.sdT</f>
        <v>1.1622001834161447E-19</v>
      </c>
      <c r="X68" s="166"/>
      <c r="Y68" s="156"/>
      <c r="Z68" s="17"/>
      <c r="AA68" s="312" t="s">
        <v>159</v>
      </c>
      <c r="AB68" s="162" t="s">
        <v>116</v>
      </c>
      <c r="AC68" s="161">
        <f>E.s2RS*Molweight</f>
        <v>0.3170979198376459</v>
      </c>
      <c r="AD68" s="163"/>
      <c r="AE68" s="163"/>
      <c r="AF68" s="163">
        <f>kleach.s2R*(M.s2RS+M.s2RA)*Molweight</f>
        <v>1.7662700037908551E-3</v>
      </c>
      <c r="AG68" s="163">
        <f>(kdis.s2S.s2D*M.s2RS+kdis.s2A.s2D*M.s2RA+kdis.s2P.s2D*M.s2RP)*Molweight</f>
        <v>6.6446289999298638E-4</v>
      </c>
      <c r="AH68" s="162">
        <f>(kdegS.s2*M.s2RS+kdegA.s2*M.s2RA+kdegP.s2*M.s2RP)*Molweight</f>
        <v>0</v>
      </c>
      <c r="AI68" s="163"/>
      <c r="AJ68" s="163"/>
      <c r="AK68" s="163">
        <f>((k.aRS.s2RS*M.aRS+k.aRA.s2RA*M.aRA+k.aRP.s2RP*M.aRP)+(k.cwRS.s2RS*M.cwRS+k.cwRA.s2RA*M.cwRA+k.cwRP.s2RP*M.cwRP))*Molweight</f>
        <v>2.0548426354710683E-2</v>
      </c>
      <c r="AL68" s="163"/>
      <c r="AM68" s="163">
        <f>(k.s2RS.w1RS*M.s2RS+k.s2RA.w1RA*M.s2RA+k.s2RP.w1RP*M.s2RP)*Molweight</f>
        <v>0.30728097884785827</v>
      </c>
      <c r="AN68" s="163"/>
      <c r="AO68" s="162"/>
      <c r="AP68" s="909">
        <f>SUM(AC68,AD68,AK68)-SUM(AE68,AF68,AH68,AL68,AM68,AP67,AG68)</f>
        <v>2.7168920544833386E-2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115312.7110344377</v>
      </c>
      <c r="D69" s="446">
        <f t="shared" si="21"/>
        <v>1.6997486892602327E-5</v>
      </c>
      <c r="E69" s="295">
        <f>E68*FRACw.sdC</f>
        <v>475634016.45563012</v>
      </c>
      <c r="F69" s="446">
        <f t="shared" si="22"/>
        <v>3.942003820802298E-3</v>
      </c>
      <c r="G69" s="296">
        <f>FRACw.sdM*G68</f>
        <v>4968644444.2971201</v>
      </c>
      <c r="H69" s="446">
        <f t="shared" si="23"/>
        <v>2.560321942101477E-4</v>
      </c>
      <c r="I69" s="296">
        <f>FRACw.sdA*I68</f>
        <v>3266696901.4274979</v>
      </c>
      <c r="J69" s="446">
        <f t="shared" si="24"/>
        <v>2.5427593562547818E-4</v>
      </c>
      <c r="K69" s="296">
        <f>FRACw.sdT*K68</f>
        <v>12279189658.204695</v>
      </c>
      <c r="L69" s="461">
        <f t="shared" si="25"/>
        <v>2.5656395372791865E-4</v>
      </c>
      <c r="M69" s="124">
        <f>M70/Kp.sd2R</f>
        <v>1.8622853849230883E-4</v>
      </c>
      <c r="N69" s="124">
        <f>N70/Kp.sd2C</f>
        <v>2.068564450016323E-4</v>
      </c>
      <c r="O69" s="124">
        <f>O70/Kp.sdM</f>
        <v>2.0688860432875158E-4</v>
      </c>
      <c r="P69" s="124">
        <f>P70/Kp.sdA</f>
        <v>2.0688914864388578E-4</v>
      </c>
      <c r="Q69" s="124">
        <f>Q70/Kp.sdT</f>
        <v>2.2219308293713579E-4</v>
      </c>
      <c r="R69" s="160" t="s">
        <v>158</v>
      </c>
      <c r="S69" s="163">
        <f>S68*FRACw.sdR</f>
        <v>8.4294825092121375E-23</v>
      </c>
      <c r="T69" s="163">
        <f>T68*FRACw.sdC</f>
        <v>9.3631878291901855E-23</v>
      </c>
      <c r="U69" s="163">
        <f>U68*FRACw.sdM</f>
        <v>9.3646434948344247E-23</v>
      </c>
      <c r="V69" s="163">
        <f>V68*FRACw.sdA</f>
        <v>1.9246332417491978E-28</v>
      </c>
      <c r="W69" s="162">
        <f>W68*FRACw.sdT</f>
        <v>9.2976014673291586E-20</v>
      </c>
      <c r="X69" s="166"/>
      <c r="Y69" s="156"/>
      <c r="Z69" s="17"/>
      <c r="AA69" s="312" t="s">
        <v>160</v>
      </c>
      <c r="AB69" s="162" t="s">
        <v>117</v>
      </c>
      <c r="AC69" s="161">
        <f>E.s3RS*Molweight</f>
        <v>0</v>
      </c>
      <c r="AD69" s="163"/>
      <c r="AE69" s="163"/>
      <c r="AF69" s="163">
        <f>kleach.s3R*(M.s3RS+M.s3RA)*Molweight</f>
        <v>1.9392887019461158E-5</v>
      </c>
      <c r="AG69" s="163">
        <f>(kdis.s3S.s3D*M.s3RS+kdis.s3A.s3D*M.s3RA+kdis.s3P.s3D*M.s3RP)*Molweight</f>
        <v>2.1719681833704677E-6</v>
      </c>
      <c r="AH69" s="162">
        <f>(kdegS.s3*M.s3RS+kdegA.s3*M.s3RA+kdegP.s3*M.s3RP)*Molweight</f>
        <v>0</v>
      </c>
      <c r="AI69" s="163"/>
      <c r="AJ69" s="163"/>
      <c r="AK69" s="163">
        <f>((k.aRS.s3RS*M.aRS+k.aRA.s3RA*M.aRA+k.aRP.s3RP*M.aRP)+(k.cwRS.s3RS*M.cwRS+k.cwRA.s3RA*M.cwRA+k.cwRP.s3RP*M.cwRP))*Molweight</f>
        <v>3.4247377257851149E-3</v>
      </c>
      <c r="AL69" s="163"/>
      <c r="AM69" s="163">
        <f>(k.s3RS.w1RS*M.s3RS+k.s3RA.w1RA*M.s3RA+k.s3RP.w1RP*M.s3RP)*Molweight</f>
        <v>3.1195751313670933E-3</v>
      </c>
      <c r="AN69" s="163"/>
      <c r="AO69" s="162"/>
      <c r="AP69" s="909">
        <f>SUM(AC69,AD69,AK69)-SUM(AE69,AF69,AH69,AL69,AM69,AP68,AG69)</f>
        <v>-2.6885322805618193E-2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5.9978058206227484E-16</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28828.177758609414</v>
      </c>
      <c r="D70" s="446">
        <f t="shared" si="21"/>
        <v>4.24937172315058E-6</v>
      </c>
      <c r="E70" s="295">
        <f>E68*FRACs.sdC</f>
        <v>118908504.1139075</v>
      </c>
      <c r="F70" s="446">
        <f t="shared" si="22"/>
        <v>9.8550095520057428E-4</v>
      </c>
      <c r="G70" s="296">
        <f>(1-FRACw.sdM)*G68</f>
        <v>1242161111.0742798</v>
      </c>
      <c r="H70" s="446">
        <f t="shared" si="23"/>
        <v>6.4008048552536911E-5</v>
      </c>
      <c r="I70" s="296">
        <f>(1-FRACw.sdA)*I68</f>
        <v>816674225.35687423</v>
      </c>
      <c r="J70" s="446">
        <f t="shared" si="24"/>
        <v>6.3568983906369531E-5</v>
      </c>
      <c r="K70" s="296">
        <f>(1-FRACw.sdT)*K68</f>
        <v>3069797414.5511727</v>
      </c>
      <c r="L70" s="461">
        <f t="shared" si="25"/>
        <v>6.4140988431979649E-5</v>
      </c>
      <c r="M70" s="124">
        <f>C.sd2R*FRACs.sdR/(FRACw.sdR/(Kp.sd2R*RHOsolid/1000)+FRACs.sdR)*(Molweight*1000)/(FRACs.sdR*RHOsolid)</f>
        <v>9.3114269246154409E-3</v>
      </c>
      <c r="N70" s="124">
        <f>C.sd2C*FRACs.sdC/(FRACw.sdC/(Kp.sd2C*RHOsolid/1000)+FRACs.sdC)*(Molweight*1000)/(FRACs.sdC*RHOsolid)</f>
        <v>1.0342822250081615E-2</v>
      </c>
      <c r="O70" s="124">
        <f>C.sdM*FRACs.sdM/(FRACw.sdM/(Kp.sdM*RHOsolid/1000)+FRACs.sdM)*(Molweight*1000)/(FRACs.sdM*RHOsolid)</f>
        <v>1.034443021643758E-2</v>
      </c>
      <c r="P70" s="124">
        <f>C.sdA*FRACs.sdA/(FRACw.sdA/(Kp.sdA*RHOsolid/1000)+FRACs.sdA)*(Molweight*1000)/(FRACs.sdA*RHOsolid)</f>
        <v>1.0344457432194289E-2</v>
      </c>
      <c r="Q70" s="124">
        <f>C.sdT*FRACs.sdT/(FRACw.sdT/(Kp.sdT*RHOsolid/1000)+FRACs.sdT)*(Molweight*1000)/(FRACs.sdT*RHOsolid)</f>
        <v>1.1109654146856789E-2</v>
      </c>
      <c r="R70" s="160" t="s">
        <v>164</v>
      </c>
      <c r="S70" s="163">
        <f>S68*(1-FRACw.sdR)</f>
        <v>2.1073706273030338E-23</v>
      </c>
      <c r="T70" s="163">
        <f>T68*(1-FRACw.sdC)</f>
        <v>2.3407969572975458E-23</v>
      </c>
      <c r="U70" s="163">
        <f>U68*(1-FRACw.sdM)</f>
        <v>2.3411608737086056E-23</v>
      </c>
      <c r="V70" s="163">
        <f>V68*(1-FRACw.sdA)</f>
        <v>4.8115831043729933E-29</v>
      </c>
      <c r="W70" s="162">
        <f>W68*(1-FRACw.sdT)</f>
        <v>2.324400366832289E-20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1.136650974093181E-16</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2.052264371270339E-10</v>
      </c>
      <c r="D71" s="446">
        <f t="shared" si="21"/>
        <v>3.0251076778868343E-20</v>
      </c>
      <c r="E71" s="295">
        <f>M.sd2CS*Molweight</f>
        <v>4.7673143883003711E-11</v>
      </c>
      <c r="F71" s="446">
        <f t="shared" si="22"/>
        <v>3.9510991399831746E-22</v>
      </c>
      <c r="G71" s="296">
        <f>M.sdMS*Molweight</f>
        <v>6.0144666683026529E-18</v>
      </c>
      <c r="H71" s="446">
        <f t="shared" si="23"/>
        <v>3.0992298107721883E-31</v>
      </c>
      <c r="I71" s="296">
        <f>M.sdAS*Molweight</f>
        <v>6.1214591998780464E-20</v>
      </c>
      <c r="J71" s="446">
        <f t="shared" si="24"/>
        <v>4.7648735478397055E-33</v>
      </c>
      <c r="K71" s="296">
        <f>M.sdTS*Molweight</f>
        <v>7.9702265794834111E-20</v>
      </c>
      <c r="L71" s="461">
        <f t="shared" si="25"/>
        <v>1.6653157905849825E-33</v>
      </c>
      <c r="M71" s="124">
        <f>C.sd2RS*(Molweight*1000)/(FRACw.sdR*1000+FRACs.sdR*RHOsolid)</f>
        <v>5.2622163365906074E-18</v>
      </c>
      <c r="N71" s="124">
        <f>C.sd2CS*(Molweight*1000)/(FRACw.sdC*1000+FRACs.sdC*RHOsolid)</f>
        <v>3.2918215459440323E-22</v>
      </c>
      <c r="O71" s="124">
        <f>C.sdMS*(Molweight*1000)/(FRACw.sdM*1000+FRACs.sdM*RHOsolid)</f>
        <v>3.9761440797740185E-30</v>
      </c>
      <c r="P71" s="124">
        <f>C.sdAS*(Molweight*1000)/(FRACw.sdA*1000+FRACs.sdA*RHOsolid)</f>
        <v>6.1553134237084435E-32</v>
      </c>
      <c r="Q71" s="124">
        <f>C.sdTS*(Molweight*1000)/(FRACw.sdT*1000+FRACs.sdT*RHOsolid)</f>
        <v>2.2898015024013251E-32</v>
      </c>
      <c r="R71" s="160" t="s">
        <v>237</v>
      </c>
      <c r="S71" s="163"/>
      <c r="T71" s="163"/>
      <c r="U71" s="163"/>
      <c r="V71" s="163"/>
      <c r="W71" s="162"/>
      <c r="X71" s="166"/>
      <c r="Y71" s="156"/>
      <c r="Z71" s="17"/>
      <c r="AA71" s="312" t="s">
        <v>141</v>
      </c>
      <c r="AB71" s="162" t="s">
        <v>118</v>
      </c>
      <c r="AC71" s="161">
        <f>E.aCS*Molweight</f>
        <v>0</v>
      </c>
      <c r="AD71" s="163">
        <f>(k.aR.aC*(M.aRS+M.aRA+M.aRP)+k.aM.aC*(M.aMS+M.aMA+M.aMP))*Molweight</f>
        <v>0.33218207648646747</v>
      </c>
      <c r="AE71" s="163">
        <f>(k.aC.aM+k.aC.aR)*(M.aCS+M.aCA+M.aCP)*Molweight</f>
        <v>0.21233988719472513</v>
      </c>
      <c r="AF71" s="163">
        <f>kesc.aC*VOLUME.aC*(C.aCS+C.aCA+C.aCP)*Molweight</f>
        <v>4.6241058073496187E-5</v>
      </c>
      <c r="AG71" s="163"/>
      <c r="AH71" s="162">
        <f>(kdegS.a*C.aCS+kdegA.a*C.aCA+kdegP.a*C.aCP)*VOLUME.aC*Molweight</f>
        <v>0</v>
      </c>
      <c r="AI71" s="163">
        <f>SUM(AI72:AI74,AK77:AK79)</f>
        <v>0.11979594823366883</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253657.10311733815</v>
      </c>
      <c r="D72" s="446">
        <f t="shared" si="21"/>
        <v>3.7389922123718072E-5</v>
      </c>
      <c r="E72" s="295">
        <f>M.sd2CA*Molweight</f>
        <v>224467596.26993194</v>
      </c>
      <c r="F72" s="446">
        <f t="shared" si="22"/>
        <v>1.8603634128950561E-3</v>
      </c>
      <c r="G72" s="296">
        <f>M.sdMA*Molweight</f>
        <v>2344683269.9432602</v>
      </c>
      <c r="H72" s="446">
        <f t="shared" si="23"/>
        <v>1.208205596237465E-4</v>
      </c>
      <c r="I72" s="296">
        <f>M.sdAA*Molweight</f>
        <v>1538873351.8314602</v>
      </c>
      <c r="J72" s="446">
        <f t="shared" si="24"/>
        <v>1.1978413460246913E-4</v>
      </c>
      <c r="K72" s="296">
        <f>M.sdTA*Molweight</f>
        <v>5805537301.3408756</v>
      </c>
      <c r="L72" s="461">
        <f t="shared" si="25"/>
        <v>1.2130210909737675E-4</v>
      </c>
      <c r="M72" s="124">
        <f>C.sd2RA*(Molweight*1000)/(FRACw.sdR*1000+FRACs.sdR*RHOsolid)</f>
        <v>6.5040282850599455E-3</v>
      </c>
      <c r="N72" s="124">
        <f>C.sd2CA*(Molweight*1000)/(FRACw.sdC*1000+FRACs.sdC*RHOsolid)</f>
        <v>1.5499444961737908E-3</v>
      </c>
      <c r="O72" s="124">
        <f>C.sdMA*(Molweight*1000)/(FRACw.sdM*1000+FRACs.sdM*RHOsolid)</f>
        <v>1.5500623774112752E-3</v>
      </c>
      <c r="P72" s="124">
        <f>C.sdAA*(Molweight*1000)/(FRACw.sdA*1000+FRACs.sdA*RHOsolid)</f>
        <v>1.5473839636314332E-3</v>
      </c>
      <c r="Q72" s="124">
        <f>C.sdTA*(Molweight*1000)/(FRACw.sdT*1000+FRACs.sdT*RHOsolid)</f>
        <v>1.6678983843541981E-3</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2.0882106391311673E-3</v>
      </c>
      <c r="AF72" s="163"/>
      <c r="AG72" s="163">
        <f>(kdis.w0S.w0D*M.w0CS+kdis.w0A.w0D*M.w0CA+kdis.w0P.w0D*M.w0CP)*Molweight</f>
        <v>8.7108215232328684E-8</v>
      </c>
      <c r="AH72" s="162">
        <f>(kdegS.w0*M.w0CS+kdegA.w0*M.w0CA+kdegP.w0*M.w0CP)*Molweight</f>
        <v>0</v>
      </c>
      <c r="AI72" s="163">
        <f>((k.aCS.w0CS*M.aCS+k.aCA.w0CA*M.aCA+k.aCP.w0CP*M.aCP)+(k.cwCS.w0CS*M.cwCS+k.cwCA.w0CA*M.cwCA+k.cwCP.w0CP*M.cwCP))*Molweight</f>
        <v>2.2389226786724456E-4</v>
      </c>
      <c r="AJ72" s="163"/>
      <c r="AK72" s="163"/>
      <c r="AL72" s="163"/>
      <c r="AM72" s="163"/>
      <c r="AN72" s="163">
        <f>(k.w0CS.sd0CS*M.w0CS+k.w0CA.sd0CA*M.w0CA+k.w0CP.sd0CP*M.w0CP)*Molweight</f>
        <v>4.6375079405146463E-4</v>
      </c>
      <c r="AO72" s="162">
        <f>(k.sd0CS.w0CS*M.sd0CS+k.sd0CA.w0CA*M.sd0CA+k.sd0CP.w0CP*M.sd0CP)*Molweight</f>
        <v>0</v>
      </c>
      <c r="AP72" s="909">
        <f>SUM(AC72,AD72,AI72,AM72,AO72)-SUM(AF72,AE72,AH72,AJ72,AN72,AG72)</f>
        <v>-2.3281562735306197E-3</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2.5733236935667497E-43</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1274749.6594137023</v>
      </c>
      <c r="D73" s="446">
        <f t="shared" si="21"/>
        <v>1.8790244746533412E-4</v>
      </c>
      <c r="E73" s="295">
        <f>M.sd2CP*Molweight</f>
        <v>5272741.6751844026</v>
      </c>
      <c r="F73" s="446">
        <f t="shared" si="22"/>
        <v>4.369991865714126E-5</v>
      </c>
      <c r="G73" s="296">
        <f>M.sdMP*Molweight</f>
        <v>99626828.456867963</v>
      </c>
      <c r="H73" s="446">
        <f t="shared" si="23"/>
        <v>5.1337292853158229E-6</v>
      </c>
      <c r="I73" s="296">
        <f>M.sdAP*Molweight</f>
        <v>32369864.870835993</v>
      </c>
      <c r="J73" s="446">
        <f t="shared" si="24"/>
        <v>2.5196331108972336E-6</v>
      </c>
      <c r="K73" s="296">
        <f>M.sdTP*Molweight</f>
        <v>539605604.05474734</v>
      </c>
      <c r="L73" s="461">
        <f t="shared" si="25"/>
        <v>1.127463220975033E-5</v>
      </c>
      <c r="M73" s="124">
        <f>C.sd2RP*(Molweight*1000)/(FRACw.sdR*1000+FRACs.sdR*RHOsolid)</f>
        <v>3.268588870291541E-2</v>
      </c>
      <c r="N73" s="124">
        <f>C.sd2CP*(Molweight*1000)/(FRACw.sdC*1000+FRACs.sdC*RHOsolid)</f>
        <v>3.6408181292102879E-5</v>
      </c>
      <c r="O73" s="124">
        <f>C.sdMP*(Molweight*1000)/(FRACw.sdM*1000+FRACs.sdM*RHOsolid)</f>
        <v>6.5862967741282631E-5</v>
      </c>
      <c r="P73" s="124">
        <f>C.sdAP*(Molweight*1000)/(FRACw.sdA*1000+FRACs.sdA*RHOsolid)</f>
        <v>3.2548883731358465E-5</v>
      </c>
      <c r="Q73" s="124">
        <f>C.sdTP*(Molweight*1000)/(FRACw.sdT*1000+FRACs.sdT*RHOsolid)</f>
        <v>1.5502567091998771E-4</v>
      </c>
      <c r="R73" s="160" t="s">
        <v>237</v>
      </c>
      <c r="S73" s="163"/>
      <c r="T73" s="163"/>
      <c r="U73" s="163"/>
      <c r="V73" s="163"/>
      <c r="W73" s="162"/>
      <c r="X73" s="166"/>
      <c r="Y73" s="156"/>
      <c r="Z73" s="17"/>
      <c r="AA73" s="312" t="s">
        <v>146</v>
      </c>
      <c r="AB73" s="162" t="s">
        <v>119</v>
      </c>
      <c r="AC73" s="161">
        <f>E.w1CS*Molweight</f>
        <v>0</v>
      </c>
      <c r="AD73" s="163">
        <f>k.w0C.w1C*(M.w0CS+M.w0CA+M.w0CP)*Molweight</f>
        <v>2.0882106391311673E-3</v>
      </c>
      <c r="AE73" s="163">
        <f>(k.w1C.w0C+k.w1C.w1R+k.w1C.w2C)*(M.w1CS+M.w1CA+M.w1CP)*Molweight</f>
        <v>2.9137400964761532E-2</v>
      </c>
      <c r="AF73" s="163"/>
      <c r="AG73" s="163">
        <f>(kdis.w1S.w1D*M.w1CS+kdis.w1A.w1D*M.w1CA+kdis.w1P.w1D*M.w1CP)*Molweight</f>
        <v>4.0109713670920303E-8</v>
      </c>
      <c r="AH73" s="162">
        <f>(kdegS.w1*M.w1CS+kdegA.w1*M.w1CA+kdegP.w1*M.w1CP)*Molweight</f>
        <v>0</v>
      </c>
      <c r="AI73" s="163">
        <f>((k.aCS.w1CS*M.aCS+k.aCA.w1CA*M.aCA+k.aCP.w1CP*M.aCP)+(k.cwCS.w1CS*M.cwCS+k.cwCA.w1CA*M.cwCA+k.cwCP.w1CP*M.cwCP))*Molweight</f>
        <v>2.4628149465396906E-3</v>
      </c>
      <c r="AJ73" s="163"/>
      <c r="AK73" s="163"/>
      <c r="AL73" s="163"/>
      <c r="AM73" s="163">
        <f>(k.s1CS.w1CS*M.s1CS+k.s1CA.w1CA*M.s1CA+k.s1CP.w1CP*M.s1CP+k.s2CS.w1CS*M.s2CS+k.s2CA.w1CA*M.s2CA+k.s2CP.w1CP*M.s2CP+k.s3CS.w1CS*M.s3CS+k.s3CA.w1CA*M.s3CA+k.s3CP.w1CP*M.s3CP)*Molweight</f>
        <v>2.5609719008836816E-2</v>
      </c>
      <c r="AN73" s="163">
        <f>(k.w1CS.sd1CS*M.w1CS+k.w1CA.sd1CA*M.w1CA+k.w1CP.sd1CP*M.w1CP)*Molweight</f>
        <v>1.0470580826766777E-2</v>
      </c>
      <c r="AO73" s="162">
        <f>(k.sd1CS.w1CS*M.sd1CS+k.sd1CA.w1CA*M.sd1CA+k.sd1CP.w1CP*M.sd1CP)*Molweight</f>
        <v>9.4472773067343033E-3</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284.61219383001708</v>
      </c>
      <c r="AE74" s="163">
        <f>(k.w2C.w2M+k.w2C.w2R)*(M.w2CS+M.w2CA+M.w2CP)*Molweight</f>
        <v>284.49042703196636</v>
      </c>
      <c r="AF74" s="163"/>
      <c r="AG74" s="163">
        <f>(kdis.w2S.w2D*M.w2CS+kdis.w2A.w2D*M.w2CA+kdis.w2P.w2D*M.w2CP)*Molweight</f>
        <v>8.9722119953003043E-4</v>
      </c>
      <c r="AH74" s="162">
        <f>(kdegS.w2*M.w2CS+kdegA.w2*M.w2CA+kdegP.w2*M.w2CP)*Molweight</f>
        <v>0</v>
      </c>
      <c r="AI74" s="163">
        <f>((k.aCS.w2CS*M.aCS+k.aCA.w2CA*M.aCA+k.aCP.w2CP*M.aCP)+(k.cwCS.w2CS*M.cwCS+k.cwCA.w2CA*M.cwCA+k.cwCP.w2CP*M.cwCP))*Molweight</f>
        <v>8.8982905839180379E-2</v>
      </c>
      <c r="AJ74" s="163"/>
      <c r="AK74" s="163"/>
      <c r="AL74" s="163"/>
      <c r="AM74" s="163"/>
      <c r="AN74" s="163">
        <f>(k.w2CS.sd2CS*M.w2CS+k.w2CA.sd2CA*M.w2CA+k.w2CP.sd2CP*M.w2CP)*Molweight</f>
        <v>2.2522761864708354</v>
      </c>
      <c r="AO74" s="162">
        <f>(k.sd2CS.w2CS*M.sd2CS+k.sd2CA.w2CA*M.sd2CA+k.sd2CP.w2CP*M.sd2CP)*Molweight</f>
        <v>2.0424237037805009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1.0800328412343703E-24</v>
      </c>
      <c r="BY74" s="113"/>
      <c r="BZ74" s="138">
        <f>IF(AL30&lt;0,"",AL30)</f>
        <v>4.0001216342013699E-25</v>
      </c>
      <c r="CA74" s="113"/>
      <c r="CB74" s="136">
        <f>IF(AL29&lt;0,"",AL29)</f>
        <v>5.2486481441322147E-24</v>
      </c>
      <c r="CC74" s="140"/>
      <c r="CD74" s="113"/>
      <c r="CE74" s="2"/>
    </row>
    <row r="75" spans="1:83" ht="12.75" customHeight="1" x14ac:dyDescent="0.35">
      <c r="A75" s="17"/>
      <c r="B75" s="104" t="s">
        <v>238</v>
      </c>
      <c r="C75" s="295">
        <f>SUM(C76,C79:C81)</f>
        <v>58644381.916049697</v>
      </c>
      <c r="D75" s="446">
        <f t="shared" ref="D75:D81" si="26">C75/$C$103</f>
        <v>8.6443819072567537E-3</v>
      </c>
      <c r="E75" s="295">
        <f>SUM(E76,E79:E81)</f>
        <v>5117705.4992984338</v>
      </c>
      <c r="F75" s="446">
        <f>E75/$E$103</f>
        <v>4.2414995425074492E-5</v>
      </c>
      <c r="G75" s="296"/>
      <c r="H75" s="446"/>
      <c r="I75" s="296"/>
      <c r="J75" s="446"/>
      <c r="K75" s="296"/>
      <c r="L75" s="461"/>
      <c r="M75" s="459">
        <f>((M.s1RD+M.s1RS+M.s1RA+M.s1RP)*Molweight*1000/(VOLUME.s1R))/(FRACw.s1R*1000+(1-FRACa.s1R-FRACw.s1R)*RHOsolid)</f>
        <v>1.1179554442268307E-2</v>
      </c>
      <c r="N75" s="459">
        <f>((M.s1CD+M.s1CS+M.s1CA+M.s1CP)*Molweight*1000/(VOLUME.s1C))/(FRACw.s1C*1000+(1-FRACa.s1C-FRACw.s1C)*RHOsolid)</f>
        <v>6.3971296351276663E-5</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1.0232679185499909E-3</v>
      </c>
      <c r="AG75" s="163">
        <f>(kdis.sd1S.sd1D*M.sd1CS+kdis.sd1A.sd1D*M.sd1CA+kdis.sd1P.sd1D*M.sd1CP)*Molweight</f>
        <v>3.5601482480494438E-8</v>
      </c>
      <c r="AH75" s="162">
        <f>(kdegS.sd1*M.sd1CS+kdegA.sd1*M.sd1CA+kdegP.sd1*M.sd1CP)*Molweight</f>
        <v>0</v>
      </c>
      <c r="AI75" s="163"/>
      <c r="AJ75" s="163"/>
      <c r="AK75" s="163"/>
      <c r="AL75" s="163"/>
      <c r="AM75" s="163"/>
      <c r="AN75" s="163">
        <f>AN73</f>
        <v>1.0470580826766777E-2</v>
      </c>
      <c r="AO75" s="162">
        <f>AO73</f>
        <v>9.4472773067343033E-3</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1.0430962656175246E-25</v>
      </c>
      <c r="BW75" s="2"/>
      <c r="BX75" s="137"/>
      <c r="BY75" s="113"/>
      <c r="BZ75" s="113"/>
      <c r="CA75" s="113"/>
      <c r="CB75" s="2"/>
      <c r="CC75" s="137"/>
      <c r="CD75" s="113"/>
      <c r="CE75" s="2"/>
    </row>
    <row r="76" spans="1:83" ht="12.75" customHeight="1" x14ac:dyDescent="0.3">
      <c r="A76" s="17"/>
      <c r="B76" s="443" t="s">
        <v>140</v>
      </c>
      <c r="C76" s="295">
        <f>M.s1R*Molweight</f>
        <v>1240.9650470779591</v>
      </c>
      <c r="D76" s="446">
        <f t="shared" si="26"/>
        <v>1.8292248038107271E-7</v>
      </c>
      <c r="E76" s="295">
        <f>M.s1C*Molweight</f>
        <v>108.29500523701756</v>
      </c>
      <c r="F76" s="446">
        <f t="shared" ref="F76:F81" si="27">E76/$E$103</f>
        <v>8.9753741248225407E-10</v>
      </c>
      <c r="G76" s="296"/>
      <c r="H76" s="446"/>
      <c r="I76" s="296"/>
      <c r="J76" s="446"/>
      <c r="K76" s="296"/>
      <c r="L76" s="461"/>
      <c r="M76" s="124">
        <f>C.s1R*(Molweight*1000)/(FRACw.s1R*1000+(1-FRACa.s1R-FRACw.s1R)*RHOsolid)</f>
        <v>2.3656888949090004E-7</v>
      </c>
      <c r="N76" s="124">
        <f>C.s1C*(Molweight*1000)/(FRACw.s1C*1000+(1-FRACa.s1C-FRACw.s1C)*RHOsolid)</f>
        <v>1.353687091672237E-9</v>
      </c>
      <c r="O76" s="124"/>
      <c r="P76" s="124"/>
      <c r="Q76" s="124"/>
      <c r="R76" s="160" t="s">
        <v>175</v>
      </c>
      <c r="S76" s="163">
        <f>F.s1R</f>
        <v>7.5346711359858281E-27</v>
      </c>
      <c r="T76" s="163">
        <f>F.s1C</f>
        <v>4.3114659238283938E-29</v>
      </c>
      <c r="U76" s="163"/>
      <c r="V76" s="163"/>
      <c r="W76" s="162"/>
      <c r="X76" s="166"/>
      <c r="Y76" s="156"/>
      <c r="Z76" s="17"/>
      <c r="AA76" s="312" t="s">
        <v>153</v>
      </c>
      <c r="AB76" s="162" t="s">
        <v>122</v>
      </c>
      <c r="AC76" s="161"/>
      <c r="AD76" s="163"/>
      <c r="AE76" s="163"/>
      <c r="AF76" s="163">
        <f>kbur.sd2C*(M.sd2CS+M.sd2CA+M.sd2CP)*Molweight</f>
        <v>0.2098295086565396</v>
      </c>
      <c r="AG76" s="163">
        <f>(kdis.sd2S.sd2D*M.sd2CS+kdis.sd2A.sd2D*M.sd2CA+kdis.sd2P.sd2D*M.sd2CP)*Molweight</f>
        <v>2.2974033794511633E-5</v>
      </c>
      <c r="AH76" s="162">
        <f>(kdegS.sd2*M.sd2CS+kdegA.sd2*M.sd2CA+kdegP.sd2*M.sd2CP)*Molweight</f>
        <v>0</v>
      </c>
      <c r="AI76" s="163"/>
      <c r="AJ76" s="163"/>
      <c r="AK76" s="163"/>
      <c r="AL76" s="163"/>
      <c r="AM76" s="163"/>
      <c r="AN76" s="163">
        <f>AN74</f>
        <v>2.2522761864708354</v>
      </c>
      <c r="AO76" s="162">
        <f>AO74</f>
        <v>2.0424237037805009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4.0762945120156743E-17</v>
      </c>
      <c r="BR76" s="113"/>
      <c r="BS76" s="113"/>
      <c r="BT76" s="138">
        <f>IF(AJ24&lt;0,"",AJ24)</f>
        <v>1.1010935325885561E-24</v>
      </c>
      <c r="BU76" s="113"/>
      <c r="BV76" s="2"/>
      <c r="BW76" s="2"/>
      <c r="BX76" s="137"/>
      <c r="BY76" s="113"/>
      <c r="BZ76" s="113"/>
      <c r="CA76" s="113"/>
      <c r="CB76" s="2"/>
      <c r="CC76" s="137"/>
      <c r="CD76" s="113"/>
      <c r="CE76" s="2"/>
    </row>
    <row r="77" spans="1:83" ht="12.75" customHeight="1" x14ac:dyDescent="0.3">
      <c r="A77" s="17"/>
      <c r="B77" s="159" t="s">
        <v>239</v>
      </c>
      <c r="C77" s="295">
        <f>C76*FRwD.s1R</f>
        <v>8.218311570052709</v>
      </c>
      <c r="D77" s="446">
        <f t="shared" si="26"/>
        <v>1.211407154841541E-9</v>
      </c>
      <c r="E77" s="295">
        <f>E76*FRw.s1C</f>
        <v>0.71718546514581172</v>
      </c>
      <c r="F77" s="446">
        <f t="shared" si="27"/>
        <v>5.943956374054663E-12</v>
      </c>
      <c r="G77" s="296"/>
      <c r="H77" s="446"/>
      <c r="I77" s="296"/>
      <c r="J77" s="446"/>
      <c r="K77" s="296"/>
      <c r="L77" s="461"/>
      <c r="M77" s="124">
        <f>M78/Kp.s1R</f>
        <v>1.3316791792534107E-8</v>
      </c>
      <c r="N77" s="124">
        <f>N78/Kp.s1C</f>
        <v>7.6200929001417302E-11</v>
      </c>
      <c r="O77" s="124"/>
      <c r="P77" s="124"/>
      <c r="Q77" s="124"/>
      <c r="R77" s="160" t="s">
        <v>158</v>
      </c>
      <c r="S77" s="163">
        <f>S76*FRACw.s1R</f>
        <v>1.5069342271971657E-27</v>
      </c>
      <c r="T77" s="163">
        <f>T76*FRACw.s1C</f>
        <v>8.6229318476567878E-30</v>
      </c>
      <c r="U77" s="163"/>
      <c r="V77" s="163"/>
      <c r="W77" s="162"/>
      <c r="X77" s="166"/>
      <c r="Y77" s="156"/>
      <c r="Z77" s="17"/>
      <c r="AA77" s="312" t="s">
        <v>155</v>
      </c>
      <c r="AB77" s="162" t="s">
        <v>123</v>
      </c>
      <c r="AC77" s="161">
        <f>E.s1CS*Molweight</f>
        <v>0</v>
      </c>
      <c r="AD77" s="163"/>
      <c r="AE77" s="163"/>
      <c r="AF77" s="163">
        <f>kleach.s1C*(M.s1CS+M.s1CA)*Molweight</f>
        <v>5.1568544520241083E-5</v>
      </c>
      <c r="AG77" s="163">
        <f>(kdis.s1S.s1D*M.s1CS+kdis.s1A.s1D*M.s1CA+kdis.s1P.s1D*M.s1CP)*Molweight</f>
        <v>5.1175972042931972E-7</v>
      </c>
      <c r="AH77" s="162">
        <f>(kdegS.s1*M.s1CS+kdegA.s1*M.s1CA+kdegP.s1*M.s1CP)*Molweight</f>
        <v>0</v>
      </c>
      <c r="AI77" s="163"/>
      <c r="AJ77" s="163"/>
      <c r="AK77" s="163">
        <f>((k.aCS.s1CS*M.aCS+k.aCA.s1CA*M.aCA+k.aCP.s1CP*M.aCP)+(k.cwCS.s1CS*M.cwCS+k.cwCA.s1CA*M.cwCA+k.cwCP.s1CP*M.cwCP))*Molweight</f>
        <v>7.82897989548661E-3</v>
      </c>
      <c r="AL77" s="163"/>
      <c r="AM77" s="163">
        <f>(k.s1CS.w1CS*M.s1CS+k.s1CA.w1CA*M.s1CA+k.s1CP.w1CP*M.s1CP)*Molweight</f>
        <v>7.1288246253087785E-3</v>
      </c>
      <c r="AN77" s="163"/>
      <c r="AO77" s="162"/>
      <c r="AP77" s="909">
        <f>SUM(AC77,AD77,AK77)-SUM(AE77,AF77,AH77,AL77,AM77,AP76,AG77)</f>
        <v>6.4807496593716034E-4</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1232.7467355079064</v>
      </c>
      <c r="D78" s="446">
        <f t="shared" si="26"/>
        <v>1.8171107322623118E-7</v>
      </c>
      <c r="E78" s="295">
        <f>E76*FRs.s1C</f>
        <v>107.57781977187175</v>
      </c>
      <c r="F78" s="446">
        <f t="shared" si="27"/>
        <v>8.9159345610819931E-10</v>
      </c>
      <c r="G78" s="296"/>
      <c r="H78" s="446"/>
      <c r="I78" s="296"/>
      <c r="J78" s="446"/>
      <c r="K78" s="296"/>
      <c r="L78" s="461"/>
      <c r="M78" s="124">
        <f>C.s1R*FRs.s1R*(Molweight*1000)/(FRACs.s1R*RHOsolid)</f>
        <v>2.6633583585068214E-7</v>
      </c>
      <c r="N78" s="124">
        <f>C.s1C*FRs.s1C*(Molweight*1000)/(FRACs.s1C*RHOsolid)</f>
        <v>1.524018580028346E-9</v>
      </c>
      <c r="O78" s="124"/>
      <c r="P78" s="124"/>
      <c r="Q78" s="124"/>
      <c r="R78" s="160" t="s">
        <v>164</v>
      </c>
      <c r="S78" s="163">
        <f>S76*(1-FRACw.s1R)</f>
        <v>6.0277369087886628E-27</v>
      </c>
      <c r="T78" s="163">
        <f>T76*(1-FRACw.s1C)</f>
        <v>3.4491727390627151E-29</v>
      </c>
      <c r="U78" s="163"/>
      <c r="V78" s="163"/>
      <c r="W78" s="162"/>
      <c r="X78" s="166"/>
      <c r="Y78" s="156"/>
      <c r="Z78" s="17"/>
      <c r="AA78" s="312" t="s">
        <v>159</v>
      </c>
      <c r="AB78" s="162" t="s">
        <v>124</v>
      </c>
      <c r="AC78" s="161">
        <f>E.s2CS*Molweight</f>
        <v>0</v>
      </c>
      <c r="AD78" s="163"/>
      <c r="AE78" s="163"/>
      <c r="AF78" s="163">
        <f>kleach.s2C*(M.s2CS+M.s2CA)*Molweight</f>
        <v>1.1460358724467468E-4</v>
      </c>
      <c r="AG78" s="163">
        <f>(kdis.s2S.s2D*M.s2CS+kdis.s2A.s2D*M.s2CA+kdis.s2P.s2D*M.s2CP)*Molweight</f>
        <v>2.4870046581195166E-6</v>
      </c>
      <c r="AH78" s="162">
        <f>(kdegS.s2*M.s2CS+kdegA.s2*M.s2CA+kdegP.s2*M.s2CP)*Molweight</f>
        <v>0</v>
      </c>
      <c r="AI78" s="163"/>
      <c r="AJ78" s="163"/>
      <c r="AK78" s="163">
        <f>((k.aCS.s2CS*M.aCS+k.aCA.s2CA*M.aCA+k.aCP.s2CP*M.aCP)+(k.cwCS.s2CS*M.cwCS+k.cwCA.s2CA*M.cwCA+k.cwCP.s2CP*M.cwCP))*Molweight</f>
        <v>1.739773310108135E-2</v>
      </c>
      <c r="AL78" s="163"/>
      <c r="AM78" s="163">
        <f>(k.s2CS.w1CS*M.s2CS+k.s2CA.w1CA*M.s2CA+k.s2CP.w1CP*M.s2CP)*Molweight</f>
        <v>1.5840588966747008E-2</v>
      </c>
      <c r="AN78" s="163"/>
      <c r="AO78" s="162"/>
      <c r="AP78" s="909">
        <f>SUM(AC78,AD78,AK78)-SUM(AE78,AF78,AH78,AL78,AM78,AP77,AG78)</f>
        <v>7.9197857649438916E-4</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4.3340707771421988E-2</v>
      </c>
      <c r="D79" s="446">
        <f t="shared" si="26"/>
        <v>6.3885681435487657E-12</v>
      </c>
      <c r="E79" s="295">
        <f>M.s1CS*Molweight</f>
        <v>3.3629569170951887E-3</v>
      </c>
      <c r="F79" s="446">
        <f t="shared" si="27"/>
        <v>2.7871826988260457E-14</v>
      </c>
      <c r="G79" s="296"/>
      <c r="H79" s="446"/>
      <c r="I79" s="296"/>
      <c r="J79" s="446"/>
      <c r="K79" s="296"/>
      <c r="L79" s="461"/>
      <c r="M79" s="124">
        <f>C.s1RS*(Molweight*1000)/(FRACw.s1R*1000+(1-FRACa.s1R-FRACw.s1R)*RHOsolid)</f>
        <v>8.2621691331092005E-12</v>
      </c>
      <c r="N79" s="124">
        <f>C.s1CS*(Molweight*1000)/(FRACw.s1C*1000+(1-FRACa.s1C-FRACw.s1C)*RHOsolid)</f>
        <v>4.2036946750758479E-14</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1.9099460933422616E-5</v>
      </c>
      <c r="AG79" s="163">
        <f>(kdis.s3S.s3D*M.s3CS+kdis.s3A.s3D*M.s3CA+kdis.s3P.s3D*M.s3CP)*Molweight</f>
        <v>1.8954063719604434E-7</v>
      </c>
      <c r="AH79" s="162">
        <f>(kdegS.s3*M.s3CS+kdegA.s3*M.s3CA+kdegP.s3*M.s3CP)*Molweight</f>
        <v>0</v>
      </c>
      <c r="AI79" s="163"/>
      <c r="AJ79" s="163"/>
      <c r="AK79" s="163">
        <f>((k.aCS.s3CS*M.aCS+k.aCA.s3CA*M.aCA+k.aCP.s3CP*M.aCP)+(k.cwCS.s3CS*M.cwCS+k.cwCA.s3CA*M.cwCA+k.cwCP.s3CP*M.cwCP))*Molweight</f>
        <v>2.8996221835135578E-3</v>
      </c>
      <c r="AL79" s="163"/>
      <c r="AM79" s="163">
        <f>(k.s3CS.w1CS*M.s3CS+k.s3CA.w1CA*M.s3CA+k.s3CP.w1CP*M.s3CP)*Molweight</f>
        <v>2.640305416781028E-3</v>
      </c>
      <c r="AN79" s="163"/>
      <c r="AO79" s="162"/>
      <c r="AP79" s="909">
        <f>SUM(AC79,AD79,AK79)-SUM(AE79,AF79,AH79,AL79,AM79,AP78,AG79)</f>
        <v>-5.5195081133247803E-4</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2.903152394338163E-6</v>
      </c>
      <c r="BU79" s="137"/>
      <c r="BV79" s="140"/>
      <c r="BW79" s="113"/>
      <c r="BX79" s="2"/>
      <c r="BY79" s="113"/>
      <c r="BZ79" s="140"/>
      <c r="CA79" s="137"/>
      <c r="CB79" s="2"/>
      <c r="CC79" s="2"/>
      <c r="CD79" s="78"/>
      <c r="CE79" s="2"/>
    </row>
    <row r="80" spans="1:83" ht="12.75" customHeight="1" x14ac:dyDescent="0.3">
      <c r="A80" s="17"/>
      <c r="B80" s="159" t="s">
        <v>150</v>
      </c>
      <c r="C80" s="295">
        <f>M.s1RA*Molweight</f>
        <v>55100.781023883974</v>
      </c>
      <c r="D80" s="446">
        <f t="shared" si="26"/>
        <v>8.1220430499280712E-6</v>
      </c>
      <c r="E80" s="295">
        <f>M.s1CA*Molweight</f>
        <v>54267.112270460661</v>
      </c>
      <c r="F80" s="446">
        <f t="shared" si="27"/>
        <v>4.4976001823456416E-7</v>
      </c>
      <c r="G80" s="296"/>
      <c r="H80" s="446"/>
      <c r="I80" s="296"/>
      <c r="J80" s="446"/>
      <c r="K80" s="296"/>
      <c r="L80" s="461"/>
      <c r="M80" s="124">
        <f>C.s1RA*(Molweight*1000)/(FRACw.s1R*1000+(1-FRACa.s1R-FRACw.s1R)*RHOsolid)</f>
        <v>1.0504027174330724E-5</v>
      </c>
      <c r="N80" s="124">
        <f>C.s1CA*(Molweight*1000)/(FRACw.s1C*1000+(1-FRACa.s1C-FRACw.s1C)*RHOsolid)</f>
        <v>6.7833866596222477E-7</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2.7175382745261281E-16</v>
      </c>
      <c r="BR80" s="113"/>
      <c r="BS80" s="113"/>
      <c r="BT80" s="138">
        <f>IF(AI24&lt;0,"",AI24)</f>
        <v>7.015246081607992E-18</v>
      </c>
      <c r="BU80" s="137"/>
      <c r="BV80" s="138">
        <f>IF(AI23&lt;0,"",AI23)</f>
        <v>6.3774964378254485E-19</v>
      </c>
      <c r="BW80" s="114"/>
      <c r="BX80" s="136">
        <f>IF(AK28&lt;0,"",AK28)</f>
        <v>6.8876961528494452E-17</v>
      </c>
      <c r="BY80" s="113"/>
      <c r="BZ80" s="138">
        <f>IF(AK30&lt;0,"",AK30)</f>
        <v>2.5509985751294231E-17</v>
      </c>
      <c r="CA80" s="137"/>
      <c r="CB80" s="136">
        <f>IF(AK29&lt;0,"",AK29)</f>
        <v>1.530599145077654E-16</v>
      </c>
      <c r="CC80" s="140"/>
      <c r="CD80" s="113"/>
      <c r="CE80" s="2"/>
    </row>
    <row r="81" spans="1:83" ht="12.75" customHeight="1" x14ac:dyDescent="0.3">
      <c r="A81" s="17"/>
      <c r="B81" s="159" t="s">
        <v>152</v>
      </c>
      <c r="C81" s="295">
        <f>M.s1RP*Molweight</f>
        <v>58588040.126638025</v>
      </c>
      <c r="D81" s="446">
        <f t="shared" si="26"/>
        <v>8.6360769353378761E-3</v>
      </c>
      <c r="E81" s="295">
        <f>M.s1CP*Molweight</f>
        <v>5063330.0886597792</v>
      </c>
      <c r="F81" s="446">
        <f t="shared" si="27"/>
        <v>4.1964337841555621E-5</v>
      </c>
      <c r="G81" s="296"/>
      <c r="H81" s="446"/>
      <c r="I81" s="296"/>
      <c r="J81" s="446"/>
      <c r="K81" s="296"/>
      <c r="L81" s="461"/>
      <c r="M81" s="124">
        <f>C.s1RP*(Molweight*1000)/(FRACw.s1R*1000+(1-FRACa.s1R-FRACw.s1R)*RHOsolid)</f>
        <v>1.1168813837942314E-2</v>
      </c>
      <c r="N81" s="124">
        <f>C.s1CP*(Molweight*1000)/(FRACw.s1C*1000+(1-FRACa.s1C-FRACw.s1C)*RHOsolid)</f>
        <v>6.3291603956185818E-5</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0.2083634936948435</v>
      </c>
      <c r="AE81" s="163">
        <f>(k.aM.aA+k.aM.aC+k.aM.aT)*(M.aMS+M.aMA+M.aMP)*Molweight</f>
        <v>0.11776570064207446</v>
      </c>
      <c r="AF81" s="163">
        <f>kesc.aM*VOLUME.aM*(C.aMS+C.aMA+C.aMP)*Molweight</f>
        <v>3.7044226425593857E-5</v>
      </c>
      <c r="AG81" s="163"/>
      <c r="AH81" s="162">
        <f>(kdegS.a*C.aMS+kdegA.a*C.aMA+kdegP.a*C.aMP)*VOLUME.aM*Molweight</f>
        <v>0</v>
      </c>
      <c r="AI81" s="163">
        <f>SUM(AI82,AK85)</f>
        <v>9.0560748826343421E-2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3.3977917117729728E-7</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13770.03456034056</v>
      </c>
      <c r="AE82" s="163">
        <f>((k.w2M.w2C+k.w2M.w2A+k.w2M.w2T)*(M.w2MS+M.w2MA+M.w2MP)+k.w2MS.w3MS*M.w2MS+k.w2MA.w3MA*M.w2MA+k.w2MP.w3MP*M.w2MP)*Molweight</f>
        <v>13770.120290732875</v>
      </c>
      <c r="AF82" s="163"/>
      <c r="AG82" s="163">
        <f>(kdis.w2S.w2D*M.w2MS+kdis.w2A.w2D*M.w2MA+kdis.w2P.w2D*M.w2MP)*Molweight</f>
        <v>4.6780613143339589E-3</v>
      </c>
      <c r="AH82" s="162">
        <f>(kdegS.w2*C.w2MS+kdegA.w2*C.w2MA+kdegP.w2*C.w2MP)*VOLUME.w2M*Molweight</f>
        <v>0</v>
      </c>
      <c r="AI82" s="163">
        <f>((k.aMS.w2MS*M.aMS+k.aMA.w2MA*M.aMA+k.aMP.w2MP*M.aMP)+(k.cwMS.w2MS*M.cwMS+k.cwMA.w2MA*M.cwMA+k.cwMP.w2MP*M.cwMP))*Molweight</f>
        <v>6.7800561009777174E-2</v>
      </c>
      <c r="AJ82" s="163"/>
      <c r="AK82" s="163"/>
      <c r="AL82" s="163"/>
      <c r="AM82" s="163">
        <f>(k.sMS.w2MS*M.sMS+k.sMA.w2MA*M.sMA+k.sMP.w2MP*M.sMP)*Molweight</f>
        <v>2.2607892621805896E-2</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3.2653744464186091E-6</v>
      </c>
      <c r="BO82" s="113"/>
      <c r="BP82" s="113"/>
      <c r="BQ82" s="137"/>
      <c r="BR82" s="113"/>
      <c r="BS82" s="130">
        <f>AD24</f>
        <v>3.3977917117729728E-7</v>
      </c>
      <c r="BT82" s="113"/>
      <c r="BU82" s="137"/>
      <c r="BV82" s="137"/>
      <c r="BW82" s="113"/>
      <c r="BX82" s="137"/>
      <c r="BY82" s="113"/>
      <c r="BZ82" s="137"/>
      <c r="CA82" s="137"/>
      <c r="CB82" s="113"/>
      <c r="CC82" s="137"/>
      <c r="CD82" s="113"/>
      <c r="CE82" s="2"/>
    </row>
    <row r="83" spans="1:83" ht="12.75" customHeight="1" x14ac:dyDescent="0.3">
      <c r="A83" s="17"/>
      <c r="B83" s="104" t="s">
        <v>240</v>
      </c>
      <c r="C83" s="295">
        <f>SUM(C84,C87:C89)</f>
        <v>6644937993.8284702</v>
      </c>
      <c r="D83" s="446">
        <f t="shared" ref="D83:D89" si="28">C83/$C$103</f>
        <v>0.97948652355006505</v>
      </c>
      <c r="E83" s="295">
        <f>SUM(E84,E87:E89)</f>
        <v>24871203.108166374</v>
      </c>
      <c r="F83" s="446">
        <f>E83/$E$103</f>
        <v>2.0612986937087118E-4</v>
      </c>
      <c r="G83" s="296"/>
      <c r="H83" s="446"/>
      <c r="I83" s="296"/>
      <c r="J83" s="446"/>
      <c r="K83" s="296"/>
      <c r="L83" s="461"/>
      <c r="M83" s="459">
        <f>((M.s2RD+M.s2RS+M.s2RA+M.s2RP)*Molweight*1000/(VOLUME.s2R))/(FRACw.s2R*1000+(1-FRACa.s2R-FRACw.s2R)*RHOsolid)</f>
        <v>0.14250875206695313</v>
      </c>
      <c r="N83" s="459">
        <f>((M.s2CD+M.s2CS+M.s2CA+M.s2CP)*Molweight*1000/(VOLUME.s2C))/(FRACw.s2C*1000+(1-FRACa.s2C-FRACw.s2C)*RHOsolid)</f>
        <v>3.4975117129567963E-5</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13486.159521759997</v>
      </c>
      <c r="AE83" s="163">
        <f>(k.w3M.w2M+k.w3M.w3A+k.w3M.w3T)*(M.w3MS+M.w3MA+M.w3MP)*Molweight</f>
        <v>13486.011399933268</v>
      </c>
      <c r="AF83" s="163"/>
      <c r="AG83" s="163">
        <f>(kdis.w2S.w2D*M.w3MS+kdis.w2A.w2D*M.w3MA+kdis.w2P.w2D*M.w3MP)*Molweight</f>
        <v>0.14058373493668971</v>
      </c>
      <c r="AH83" s="162">
        <f>(kdegS.w3*C.w3MS+kdegA.w3*C.w3MA+kdegP.w3*C.w3MP)*VOLUME.w3M*Molweight</f>
        <v>0</v>
      </c>
      <c r="AI83" s="163"/>
      <c r="AJ83" s="163"/>
      <c r="AK83" s="163"/>
      <c r="AL83" s="163"/>
      <c r="AM83" s="163"/>
      <c r="AN83" s="163">
        <f>(k.w3MS.sdMS*M.w3MS+k.w3MA.sdMA*M.w3MA+k.w3MP.sdMP*M.w3MP)*Molweight</f>
        <v>23.962972616032136</v>
      </c>
      <c r="AO83" s="162">
        <f>(k.sdMS.w3MS*M.sdMS+k.sdMA.w3MA*M.sdMA+k.sdMP.w3MP*M.sdMP)*Molweight</f>
        <v>23.955434524244016</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3514.1167807597244</v>
      </c>
      <c r="BO83" s="132"/>
      <c r="BP83" s="130">
        <f>AD25</f>
        <v>3514.658876067062</v>
      </c>
      <c r="BQ83" s="301"/>
      <c r="BR83" s="134"/>
      <c r="BS83" s="135"/>
      <c r="BT83" s="55">
        <f>AH24</f>
        <v>1.8224113096392401E-19</v>
      </c>
      <c r="BU83" s="113"/>
      <c r="BV83" s="940">
        <f>AH23</f>
        <v>5.7547349528515158E-19</v>
      </c>
      <c r="BW83" s="113"/>
      <c r="BX83" s="137"/>
      <c r="BY83" s="113"/>
      <c r="BZ83" s="2"/>
      <c r="CA83" s="113"/>
      <c r="CB83" s="2"/>
      <c r="CC83" s="141"/>
      <c r="CD83" s="113"/>
      <c r="CE83" s="2"/>
    </row>
    <row r="84" spans="1:83" ht="12.75" customHeight="1" x14ac:dyDescent="0.35">
      <c r="A84" s="17"/>
      <c r="B84" s="443" t="s">
        <v>140</v>
      </c>
      <c r="C84" s="295">
        <f>M.s2R*Molweight</f>
        <v>308993.89860679104</v>
      </c>
      <c r="D84" s="446">
        <f t="shared" si="28"/>
        <v>4.5546754510823158E-5</v>
      </c>
      <c r="E84" s="295">
        <f>M.s2C*Molweight</f>
        <v>1156.5269712138916</v>
      </c>
      <c r="F84" s="446">
        <f t="shared" ref="F84:F89" si="29">E84/$E$103</f>
        <v>9.585171753188436E-9</v>
      </c>
      <c r="G84" s="163"/>
      <c r="H84" s="446"/>
      <c r="I84" s="296"/>
      <c r="J84" s="446"/>
      <c r="K84" s="296"/>
      <c r="L84" s="461"/>
      <c r="M84" s="124">
        <f>C.s2R*(Molweight*1000)/(FRACw.s2R*1000+(1-FRACa.s2R-FRACw.s2R)*RHOsolid)</f>
        <v>6.6267488015168272E-6</v>
      </c>
      <c r="N84" s="124">
        <f>C.s2C*(Molweight*1000)/(FRACw.s2C*1000+(1-FRACa.s2C-FRACw.s2C)*RHOsolid)</f>
        <v>1.6263654840416152E-9</v>
      </c>
      <c r="O84" s="124"/>
      <c r="P84" s="124"/>
      <c r="Q84" s="124"/>
      <c r="R84" s="160" t="s">
        <v>175</v>
      </c>
      <c r="S84" s="163">
        <f>F.s2R</f>
        <v>2.1106060491583853E-25</v>
      </c>
      <c r="T84" s="163">
        <f>F.s2C</f>
        <v>5.1799410715175007E-29</v>
      </c>
      <c r="U84" s="163"/>
      <c r="V84" s="163"/>
      <c r="W84" s="162"/>
      <c r="X84" s="166"/>
      <c r="Y84" s="156"/>
      <c r="Z84" s="17"/>
      <c r="AA84" s="312" t="s">
        <v>205</v>
      </c>
      <c r="AB84" s="162" t="s">
        <v>191</v>
      </c>
      <c r="AC84" s="161"/>
      <c r="AD84" s="163"/>
      <c r="AE84" s="163"/>
      <c r="AF84" s="163">
        <f>kbur.sdM*(M.sdMS+M.sdMA+M.sdMP)*Molweight</f>
        <v>7.2936607782767126E-3</v>
      </c>
      <c r="AG84" s="163">
        <f>(kdis.sd2S.sd2D*M.sdMS+kdis.sd2A.sd2D*M.sdMA+kdis.sd2P.sd2D*M.sdMP)*Molweight</f>
        <v>2.4443100984001284E-4</v>
      </c>
      <c r="AH84" s="162">
        <f>(kdegS.sd2*C.sdMS+kdegA.sd2*C.sdMA+kdegP.sd2*C.sdMP)*VOLUME.sdM*Molweight</f>
        <v>0</v>
      </c>
      <c r="AI84" s="163"/>
      <c r="AJ84" s="163"/>
      <c r="AK84" s="163"/>
      <c r="AL84" s="163"/>
      <c r="AM84" s="163"/>
      <c r="AN84" s="163">
        <f>AN83</f>
        <v>23.962972616032136</v>
      </c>
      <c r="AO84" s="162">
        <f>AO83</f>
        <v>23.955434524244016</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2046.3172093164969</v>
      </c>
      <c r="D85" s="446">
        <f t="shared" si="28"/>
        <v>3.0163413583326591E-7</v>
      </c>
      <c r="E85" s="295">
        <f>E84*FRw.s2C</f>
        <v>7.6591190146615338</v>
      </c>
      <c r="F85" s="446">
        <f t="shared" si="29"/>
        <v>6.3477958630386998E-11</v>
      </c>
      <c r="G85" s="296"/>
      <c r="H85" s="446"/>
      <c r="I85" s="296"/>
      <c r="J85" s="446"/>
      <c r="K85" s="296"/>
      <c r="L85" s="461"/>
      <c r="M85" s="124">
        <f>M86/Kp.s2R</f>
        <v>3.7302890604564915E-7</v>
      </c>
      <c r="N85" s="124">
        <f>N86/Kp.s2C</f>
        <v>9.1550374929494898E-11</v>
      </c>
      <c r="O85" s="124"/>
      <c r="P85" s="124"/>
      <c r="Q85" s="124"/>
      <c r="R85" s="160" t="s">
        <v>158</v>
      </c>
      <c r="S85" s="163">
        <f>S84*FRACw.s2R</f>
        <v>4.221212098316771E-26</v>
      </c>
      <c r="T85" s="163">
        <f>T84*FRACw.s2C</f>
        <v>1.0359882143035002E-29</v>
      </c>
      <c r="U85" s="163"/>
      <c r="V85" s="163"/>
      <c r="W85" s="162"/>
      <c r="X85" s="166"/>
      <c r="Y85" s="156"/>
      <c r="Z85" s="17"/>
      <c r="AA85" s="312" t="s">
        <v>206</v>
      </c>
      <c r="AB85" s="162" t="s">
        <v>192</v>
      </c>
      <c r="AC85" s="161">
        <f>E.sMS*Molweight</f>
        <v>0</v>
      </c>
      <c r="AD85" s="163"/>
      <c r="AE85" s="163"/>
      <c r="AF85" s="163">
        <f>kleach.sM*(M.sMS+M.sMA)*Molweight</f>
        <v>1.5222978119646378E-4</v>
      </c>
      <c r="AG85" s="163">
        <f>(kdis.s1S.s1D*M.sMS+kdis.s1A.s1D*M.sMA+kdis.s1P.s1D*M.sMP)*Molweight</f>
        <v>6.5413563893589302E-8</v>
      </c>
      <c r="AH85" s="162">
        <f>(kdegS.s1*C.sMS+kdegA.s1*C.sMA+kdegP.s1*C.sMP)*VOLUME.sM*Molweight</f>
        <v>0</v>
      </c>
      <c r="AI85" s="163"/>
      <c r="AJ85" s="163"/>
      <c r="AK85" s="163">
        <f>((k.aMS.sMS*M.aMS+k.aMA.sMA*M.aMA+k.aMP.sMP*M.aMP)+(k.cwMS.sMS*M.cwMS+k.cwMA.sMA*M.cwMA+k.cwMP.sMP*M.cwMP))*Molweight</f>
        <v>2.276018781656625E-2</v>
      </c>
      <c r="AL85" s="163"/>
      <c r="AM85" s="163">
        <f>AM82</f>
        <v>2.2607892621805896E-2</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306947.58139747451</v>
      </c>
      <c r="D86" s="446">
        <f t="shared" si="28"/>
        <v>4.5245120374989888E-5</v>
      </c>
      <c r="E86" s="295">
        <f>E84*FRs.s2C</f>
        <v>1148.8678521992299</v>
      </c>
      <c r="F86" s="446">
        <f t="shared" si="29"/>
        <v>9.5216937945580491E-9</v>
      </c>
      <c r="G86" s="296"/>
      <c r="H86" s="446"/>
      <c r="I86" s="296"/>
      <c r="J86" s="446"/>
      <c r="K86" s="296"/>
      <c r="L86" s="461"/>
      <c r="M86" s="124">
        <f>C.s2R*FRs.s2R*(Molweight*1000)/(FRACs.s2R*RHOsolid)</f>
        <v>7.4605781209129834E-6</v>
      </c>
      <c r="N86" s="124">
        <f>C.s2C*FRs.s2C*(Molweight*1000)/(FRACs.s2C*RHOsolid)</f>
        <v>1.8310074985898979E-9</v>
      </c>
      <c r="O86" s="124"/>
      <c r="P86" s="124"/>
      <c r="Q86" s="124"/>
      <c r="R86" s="160" t="s">
        <v>164</v>
      </c>
      <c r="S86" s="163">
        <f>S84*(1-FRACw.s2R)</f>
        <v>1.6884848393267084E-25</v>
      </c>
      <c r="T86" s="163">
        <f>T84*(1-FRACw.s2C)</f>
        <v>4.1439528572140009E-29</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1.1503911744343405E-6</v>
      </c>
      <c r="BT86" s="82">
        <f>IF(ISERROR(F36),0,F36)</f>
        <v>3.7254254321589302E-10</v>
      </c>
      <c r="BU86" s="113"/>
      <c r="BV86" s="82">
        <f>IF(ISERROR(E20),0,E20)</f>
        <v>141.73645426252972</v>
      </c>
      <c r="BW86" s="2"/>
      <c r="BX86" s="76" t="s">
        <v>171</v>
      </c>
      <c r="BY86" s="42"/>
      <c r="BZ86" s="76" t="s">
        <v>172</v>
      </c>
      <c r="CA86" s="113"/>
      <c r="CB86" s="113"/>
      <c r="CC86" s="76" t="s">
        <v>173</v>
      </c>
      <c r="CD86" s="94"/>
      <c r="CE86" s="2"/>
    </row>
    <row r="87" spans="1:83" ht="12.75" customHeight="1" x14ac:dyDescent="0.35">
      <c r="A87" s="17"/>
      <c r="B87" s="159" t="s">
        <v>147</v>
      </c>
      <c r="C87" s="295">
        <f>M.s2RS*Molweight</f>
        <v>2.5699904742127764</v>
      </c>
      <c r="D87" s="446">
        <f t="shared" si="28"/>
        <v>3.7882536112171211E-10</v>
      </c>
      <c r="E87" s="295">
        <f>M.s2CS*Molweight</f>
        <v>7.4732421051270067E-3</v>
      </c>
      <c r="F87" s="446">
        <f t="shared" si="29"/>
        <v>6.193743069875539E-14</v>
      </c>
      <c r="G87" s="296"/>
      <c r="H87" s="446"/>
      <c r="I87" s="296"/>
      <c r="J87" s="446"/>
      <c r="K87" s="296"/>
      <c r="L87" s="461"/>
      <c r="M87" s="124">
        <f>C.s2RS*(Molweight*1000)/(FRACw.s2R*1000+(1-FRACa.s2R-FRACw.s2R)*RHOsolid)</f>
        <v>5.5116561756358499E-11</v>
      </c>
      <c r="N87" s="124">
        <f>C.s2CS*(Molweight*1000)/(FRACw.s2C*1000+(1-FRACa.s2C-FRACw.s2C)*RHOsolid)</f>
        <v>1.0509243032099787E-14</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3.8358537825788859E-2</v>
      </c>
      <c r="AE87" s="163">
        <f>k.aA.aM*(M.aAS+M.aAA+M.aAP)*Molweight</f>
        <v>1.679168663310298E-2</v>
      </c>
      <c r="AF87" s="163">
        <f>kesc.aA*VOLUME.aA*(C.aAS+C.aAA+C.aAP)*Molweight</f>
        <v>8.884670763874557E-6</v>
      </c>
      <c r="AG87" s="163"/>
      <c r="AH87" s="162">
        <f>(kdegS.a*C.aAS+kdegA.a*C.aAA+kdegP.a*C.aAP)*VOLUME.aA*Molweight</f>
        <v>0</v>
      </c>
      <c r="AI87" s="163">
        <f>SUM(AI88,AK91)</f>
        <v>2.1557966521921997E-2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8.9753741248225407E-10</v>
      </c>
      <c r="BY87" s="42"/>
      <c r="BZ87" s="96">
        <f>IF(ISERROR(F92),0,F92)</f>
        <v>3.3242126388231617E-10</v>
      </c>
      <c r="CA87" s="113"/>
      <c r="CB87" s="113"/>
      <c r="CC87" s="96">
        <f>IF(ISERROR(F84),0,F84)</f>
        <v>9.585171753188436E-9</v>
      </c>
      <c r="CD87" s="2"/>
      <c r="CE87" s="2"/>
    </row>
    <row r="88" spans="1:83" ht="12.75" customHeight="1" x14ac:dyDescent="0.3">
      <c r="A88" s="17"/>
      <c r="B88" s="159" t="s">
        <v>150</v>
      </c>
      <c r="C88" s="295">
        <f>M.s2RA*Molweight</f>
        <v>4084562.3101451769</v>
      </c>
      <c r="D88" s="446">
        <f t="shared" si="28"/>
        <v>6.0207841534465291E-4</v>
      </c>
      <c r="E88" s="295">
        <f>M.s2CA*Molweight</f>
        <v>265025.03773076902</v>
      </c>
      <c r="F88" s="446">
        <f t="shared" si="29"/>
        <v>2.1964991468191657E-6</v>
      </c>
      <c r="G88" s="296"/>
      <c r="H88" s="446"/>
      <c r="I88" s="296"/>
      <c r="J88" s="446"/>
      <c r="K88" s="296"/>
      <c r="L88" s="461"/>
      <c r="M88" s="124">
        <f>C.s2RA*(Molweight*1000)/(FRACw.s2R*1000+(1-FRACa.s2R-FRACw.s2R)*RHOsolid)</f>
        <v>8.7598391151146382E-5</v>
      </c>
      <c r="N88" s="124">
        <f>C.s2CA*(Molweight*1000)/(FRACw.s2C*1000+(1-FRACa.s2C-FRACw.s2C)*RHOsolid)</f>
        <v>3.7269132886692873E-7</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10090.353938806289</v>
      </c>
      <c r="AE88" s="163">
        <f>(k.w2A.w2M*(M.w2AS+M.w2AA+M.w2AP)+k.w2AS.w3AS*M.w2AS+k.w2AA.w3AA*M.w2AA+k.w2AP.w3AP*M.w2AP)*Molweight</f>
        <v>10090.371732279467</v>
      </c>
      <c r="AF88" s="163"/>
      <c r="AG88" s="163">
        <f>(kdis.w2S.w2D*M.w2AS+kdis.w2A.w2D*M.w2AA+kdis.w2P.w2D*M.w2AP)*Molweight</f>
        <v>3.7405450039464643E-3</v>
      </c>
      <c r="AH88" s="162">
        <f>(kdegS.w2*C.w2AS+kdegA.w2*C.w2AA+kdegP.w2*C.w2AP)*VOLUME.w2A*Molweight</f>
        <v>0</v>
      </c>
      <c r="AI88" s="163">
        <f>((k.aAS.w2AS*M.aAS+k.aAA.w2AA*M.aAA+k.aAP.w2AP*M.aAP)+(k.cwAS.w2AS*M.cwAS+k.cwAA.w2AA*M.cwAA+k.cwAP.w2AP*M.cwAP))*Molweight</f>
        <v>1.7979449972250563E-2</v>
      </c>
      <c r="AJ88" s="163"/>
      <c r="AK88" s="163"/>
      <c r="AL88" s="163"/>
      <c r="AM88" s="163">
        <f>(k.sAS.w2AS*M.sAS+k.sAA.w2AA*M.sAA+k.sAP.w2AP*M.sAP)*Molweight</f>
        <v>3.5545682097582283E-3</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1.168058007208946E-6</v>
      </c>
      <c r="BT88" s="22">
        <f>AH26</f>
        <v>7.5267708002449128E-20</v>
      </c>
      <c r="BU88" s="113"/>
      <c r="BV88" s="113"/>
      <c r="BW88" s="113"/>
      <c r="BX88" s="2"/>
      <c r="BY88" s="42"/>
      <c r="BZ88" s="113"/>
      <c r="CA88" s="113"/>
      <c r="CB88" s="113"/>
      <c r="CC88" s="113"/>
      <c r="CD88" s="2"/>
      <c r="CE88" s="2"/>
    </row>
    <row r="89" spans="1:83" ht="12.75" customHeight="1" x14ac:dyDescent="0.35">
      <c r="A89" s="17"/>
      <c r="B89" s="159" t="s">
        <v>152</v>
      </c>
      <c r="C89" s="295">
        <f>M.s2RP*Molweight</f>
        <v>6640544435.0497274</v>
      </c>
      <c r="D89" s="446">
        <f t="shared" si="28"/>
        <v>0.97883889800138424</v>
      </c>
      <c r="E89" s="295">
        <f>M.s2CP*Molweight</f>
        <v>24605021.535991151</v>
      </c>
      <c r="F89" s="446">
        <f t="shared" si="29"/>
        <v>2.0392378499036143E-4</v>
      </c>
      <c r="G89" s="296"/>
      <c r="H89" s="446"/>
      <c r="I89" s="296"/>
      <c r="J89" s="446"/>
      <c r="K89" s="296"/>
      <c r="L89" s="461"/>
      <c r="M89" s="124">
        <f>C.s2RP*(Molweight*1000)/(FRACw.s2R*1000+(1-FRACa.s2R-FRACw.s2R)*RHOsolid)</f>
        <v>0.14241452687188391</v>
      </c>
      <c r="N89" s="124">
        <f>C.s2CP*(Molweight*1000)/(FRACw.s2C*1000+(1-FRACa.s2C-FRACw.s2C)*RHOsolid)</f>
        <v>3.4600799424707747E-5</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10090.371732279467</v>
      </c>
      <c r="AE89" s="163">
        <f>(k.w3A.w2A+k.w3A.w3M)*(M.w3AS+M.w3AA+M.w3AP)*Molweight</f>
        <v>10090.275988304424</v>
      </c>
      <c r="AF89" s="163"/>
      <c r="AG89" s="163">
        <f>(kdis.w2S.w2D*M.w3AS+kdis.w2A.w2D*M.w3AA+kdis.w2P.w2D*M.w3AP)*Molweight</f>
        <v>9.2265264349439852E-2</v>
      </c>
      <c r="AH89" s="162">
        <f>(kdegS.w3*C.w3AS+kdegA.w3*C.w3AA+kdegP.w3*C.w3AP)*VOLUME.w3A*Molweight</f>
        <v>0</v>
      </c>
      <c r="AI89" s="163"/>
      <c r="AJ89" s="163"/>
      <c r="AK89" s="163"/>
      <c r="AL89" s="163"/>
      <c r="AM89" s="163"/>
      <c r="AN89" s="163">
        <f>(k.w3AS.sdAS*M.w3AS+k.w3AA.sdAA*M.w3AA+k.w3AP.sdAP*M.w3AP)*Molweight</f>
        <v>15.403797660373566</v>
      </c>
      <c r="AO89" s="162">
        <f>(k.sdAS.w3AS*M.sdAS+k.sdAA.w3AA*M.sdAA+k.sdAP.w3AP*M.sdAP)*Molweight</f>
        <v>15.40031894968139</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4.3981438758589304E-19</v>
      </c>
      <c r="BY89" s="42"/>
      <c r="BZ89" s="55">
        <f>AH30</f>
        <v>1.6289421762440471E-19</v>
      </c>
      <c r="CA89" s="2"/>
      <c r="CB89" s="113"/>
      <c r="CC89" s="22">
        <f>AH29</f>
        <v>4.6969590190955127E-18</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3.3215863705020276E-3</v>
      </c>
      <c r="AG90" s="163">
        <f>(kdis.sd2S.sd2D*M.sdAS+kdis.sd2A.sd2D*M.sdAA+kdis.sd2P.sd2D*M.sdAP)*Molweight</f>
        <v>1.5712432167022962E-4</v>
      </c>
      <c r="AH90" s="162">
        <f>(kdegS.sd2*C.sdAS+kdegA.sd2*C.sdAA+kdegP.sd2*C.sdAP)*VOLUME.sdA*Molweight</f>
        <v>0</v>
      </c>
      <c r="AI90" s="163"/>
      <c r="AJ90" s="163"/>
      <c r="AK90" s="163"/>
      <c r="AL90" s="163"/>
      <c r="AM90" s="163"/>
      <c r="AN90" s="163">
        <f>AN89</f>
        <v>15.403797660373566</v>
      </c>
      <c r="AO90" s="162">
        <f>AO89</f>
        <v>15.40031894968139</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21720141.450388778</v>
      </c>
      <c r="D91" s="446">
        <f t="shared" ref="D91:D97" si="30">C91/$C$103</f>
        <v>3.201622928613613E-3</v>
      </c>
      <c r="E91" s="295">
        <f>SUM(E92,E95:E97)</f>
        <v>1895446.4812216421</v>
      </c>
      <c r="F91" s="446">
        <f>E91/$E$103</f>
        <v>1.5709257564842404E-5</v>
      </c>
      <c r="G91" s="296">
        <f>SUM(G92,G95:G97)</f>
        <v>654149.48129965132</v>
      </c>
      <c r="H91" s="446">
        <f t="shared" ref="H91:H97" si="31">G91/$G$103</f>
        <v>3.3708052350337264E-8</v>
      </c>
      <c r="I91" s="296">
        <f>SUM(I92,I95:I97)</f>
        <v>73143.285415644874</v>
      </c>
      <c r="J91" s="446">
        <f t="shared" ref="J91:J97" si="32">I91/$I$103</f>
        <v>5.6933893455671359E-9</v>
      </c>
      <c r="K91" s="296">
        <f>SUM(K92,K95:K97)</f>
        <v>28856.669212259727</v>
      </c>
      <c r="L91" s="461">
        <f t="shared" ref="L91:L97" si="33">K91/$K$103</f>
        <v>6.0293727441282279E-10</v>
      </c>
      <c r="M91" s="459">
        <f>((M.s3RD+M.s3RS+M.s3RA+M.s3RP)*Molweight*1000/(VOLUME.s3R))/(FRACw.s3R*1000+(1-FRACa.s3R-FRACw.s3R)*RHOsolid)</f>
        <v>1.1179554442268312E-2</v>
      </c>
      <c r="N91" s="459">
        <f>((M.s3CD+M.s3CS+M.s3CA+M.s3CP)*Molweight*1000/(VOLUME.s3C))/(FRACw.s3C*1000+(1-FRACa.s3C-FRACw.s3C)*RHOsolid)</f>
        <v>6.397129635127669E-5</v>
      </c>
      <c r="O91" s="459">
        <f>((M.sMD+M.sMS+M.sMA+M.sMP)*Molweight*1000/(VOLUME.sM))/(FRACw.sM*1000+(1-FRACa.sM-FRACw.sM)*RHOsolid)</f>
        <v>1.9842101797559689E-7</v>
      </c>
      <c r="P91" s="459">
        <f>((M.sAD+M.sAS+M.sAA+M.sAP)*Molweight*1000/(VOLUME.sA))/(FRACw.sA*1000+(1-FRACa.sA-FRACw.sA)*RHOsolid)</f>
        <v>5.0618190599062191E-8</v>
      </c>
      <c r="Q91" s="459">
        <f>((M.sTD+M.sTS+M.sTA+M.sTP)*Molweight*1000/(VOLUME.sT))/(FRACw.sT*1000+(1-FRACa.sT-FRACw.sT)*RHOsolid)</f>
        <v>8.8755614647473196E-9</v>
      </c>
      <c r="R91" s="160" t="s">
        <v>175</v>
      </c>
      <c r="S91" s="163"/>
      <c r="T91" s="163"/>
      <c r="U91" s="163"/>
      <c r="V91" s="163"/>
      <c r="W91" s="162"/>
      <c r="X91" s="166"/>
      <c r="Y91" s="156"/>
      <c r="Z91" s="17"/>
      <c r="AA91" s="312" t="s">
        <v>206</v>
      </c>
      <c r="AB91" s="162" t="s">
        <v>197</v>
      </c>
      <c r="AC91" s="161">
        <f>E.sAS*Molweight</f>
        <v>0</v>
      </c>
      <c r="AD91" s="163"/>
      <c r="AE91" s="163"/>
      <c r="AF91" s="163">
        <f>kleach.sA*(M.sAS+M.sAA)*Molweight</f>
        <v>2.3941026014070452E-5</v>
      </c>
      <c r="AG91" s="163">
        <f>(kdis.s1S.s1D*M.sAS+kdis.s1A.s1D*M.sAA+kdis.s1P.s1D*M.sAP)*Molweight</f>
        <v>7.313899135482203E-9</v>
      </c>
      <c r="AH91" s="162">
        <f>(kdegS.s1*C.sAS+kdegA.s1*C.sAA+kdegP.s1*C.sAP)*VOLUME.sA*Molweight</f>
        <v>0</v>
      </c>
      <c r="AI91" s="163"/>
      <c r="AJ91" s="163"/>
      <c r="AK91" s="163">
        <f>((k.aAS.sAS*M.aAS+k.aAA.sAA*M.aAA+k.aAP.sAP*M.aAP)+(k.cwAS.sAS*M.cwAS+k.cwAA.sAA*M.cwAA+k.cwAP.sAP*M.cwAP))*Molweight</f>
        <v>3.5785165496714341E-3</v>
      </c>
      <c r="AL91" s="163"/>
      <c r="AM91" s="163">
        <f>AM88</f>
        <v>3.5545682097582283E-3</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1.5360021361464636E-10</v>
      </c>
      <c r="BU91" s="113"/>
      <c r="BV91" s="113"/>
      <c r="BW91" s="113"/>
      <c r="BX91" s="113"/>
      <c r="BY91" s="113"/>
      <c r="BZ91" s="2"/>
      <c r="CA91" s="113"/>
      <c r="CB91" s="2"/>
      <c r="CC91" s="2"/>
      <c r="CD91" s="2"/>
      <c r="CE91" s="2"/>
    </row>
    <row r="92" spans="1:83" ht="12.75" customHeight="1" x14ac:dyDescent="0.3">
      <c r="A92" s="17"/>
      <c r="B92" s="443" t="s">
        <v>140</v>
      </c>
      <c r="C92" s="295">
        <f>M.s3R*Molweight</f>
        <v>459.61668410294777</v>
      </c>
      <c r="D92" s="446">
        <f t="shared" si="30"/>
        <v>6.7749066807804702E-8</v>
      </c>
      <c r="E92" s="295">
        <f>M.s3C*Molweight</f>
        <v>40.109261198895375</v>
      </c>
      <c r="F92" s="446">
        <f t="shared" ref="F92:F97" si="34">E92/$E$103</f>
        <v>3.3242126388231617E-10</v>
      </c>
      <c r="G92" s="296">
        <f>M.sMD*Molweight</f>
        <v>13.842363758323366</v>
      </c>
      <c r="H92" s="446">
        <f t="shared" si="31"/>
        <v>7.1329128212552475E-13</v>
      </c>
      <c r="I92" s="296">
        <f>M.sAD*Molweight</f>
        <v>4.2940608228654202</v>
      </c>
      <c r="J92" s="446">
        <f t="shared" si="32"/>
        <v>3.3424476353765231E-13</v>
      </c>
      <c r="K92" s="296">
        <f>M.sTD*Molweight</f>
        <v>0.32961151311952513</v>
      </c>
      <c r="L92" s="461">
        <f t="shared" si="33"/>
        <v>6.8869718079223246E-15</v>
      </c>
      <c r="M92" s="124">
        <f>C.s3R*(Molweight*1000)/(FRACw.s3R*1000+(1-FRACa.s3R-FRACw.s3R)*RHOsolid)</f>
        <v>2.3656888949090004E-7</v>
      </c>
      <c r="N92" s="124">
        <f>C.s3C*(Molweight*1000)/(FRACw.s3C*1000+(1-FRACa.s3C-FRACw.s3C)*RHOsolid)</f>
        <v>1.3536870916722364E-9</v>
      </c>
      <c r="O92" s="124">
        <f>C.sM*(Molweight*1000)/(FRACw.sM*1000+(1-FRACa.sM-FRACw.sM)*RHOsolid)</f>
        <v>4.1987588259767621E-12</v>
      </c>
      <c r="P92" s="124">
        <f>C.sA*(Molweight*1000)/(FRACw.sA*1000+(1-FRACa.sA-FRACw.sA)*RHOsolid)</f>
        <v>2.9716683895262418E-12</v>
      </c>
      <c r="Q92" s="124">
        <f>C.sT*(Molweight*1000)/(FRACw.sT*1000+(1-FRACa.sT-FRACw.sT)*RHOsolid)</f>
        <v>1.0137993483107266E-13</v>
      </c>
      <c r="R92" s="160" t="s">
        <v>175</v>
      </c>
      <c r="S92" s="163">
        <f>F.s3R</f>
        <v>7.5346711359858281E-27</v>
      </c>
      <c r="T92" s="163">
        <f>F.s3C</f>
        <v>4.3114659238283927E-29</v>
      </c>
      <c r="U92" s="163">
        <f>F.sM</f>
        <v>1.3372961677731419E-31</v>
      </c>
      <c r="V92" s="163">
        <f>F.sA</f>
        <v>1.9451925880847883E-37</v>
      </c>
      <c r="W92" s="162">
        <f>F.sT</f>
        <v>2.9850003811913766E-30</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4.4977621490239001E-10</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3.0438191000195216</v>
      </c>
      <c r="D93" s="446">
        <f t="shared" si="30"/>
        <v>4.4866931660797817E-10</v>
      </c>
      <c r="E93" s="295">
        <f>E92*FRw.s3C</f>
        <v>0.26562424635030052</v>
      </c>
      <c r="F93" s="446">
        <f t="shared" si="34"/>
        <v>2.2014653237239483E-12</v>
      </c>
      <c r="G93" s="296">
        <f>FRw.sM*G92</f>
        <v>9.1671283167704412E-2</v>
      </c>
      <c r="H93" s="446">
        <f t="shared" si="31"/>
        <v>4.7237833253346007E-15</v>
      </c>
      <c r="I93" s="296">
        <f>FRw.sA*I92</f>
        <v>2.8437488893148479E-2</v>
      </c>
      <c r="J93" s="446">
        <f t="shared" si="32"/>
        <v>2.2135414803818034E-15</v>
      </c>
      <c r="K93" s="296">
        <f>FRw.sT*K92</f>
        <v>2.182857702778312E-3</v>
      </c>
      <c r="L93" s="461">
        <f t="shared" si="33"/>
        <v>4.5609084820677644E-17</v>
      </c>
      <c r="M93" s="124">
        <f>M94/Kp.s3R</f>
        <v>1.3316791792534107E-8</v>
      </c>
      <c r="N93" s="124">
        <f>N94/Kp.s3C</f>
        <v>7.6200929001417276E-11</v>
      </c>
      <c r="O93" s="124">
        <f>O94/Kp.sM</f>
        <v>2.3635397364769851E-13</v>
      </c>
      <c r="P93" s="124">
        <f>P94/Kp.sA</f>
        <v>1.6727934643028513E-13</v>
      </c>
      <c r="Q93" s="124">
        <f>Q94/Kp.sT</f>
        <v>5.706817523603427E-15</v>
      </c>
      <c r="R93" s="160" t="s">
        <v>158</v>
      </c>
      <c r="S93" s="163">
        <f>S92*FRACw.s3R</f>
        <v>1.5069342271971657E-27</v>
      </c>
      <c r="T93" s="163">
        <f>T92*FRACw.s3C</f>
        <v>8.6229318476567864E-30</v>
      </c>
      <c r="U93" s="163">
        <f>U92*FRACw.sM</f>
        <v>2.6745923355462839E-32</v>
      </c>
      <c r="V93" s="163">
        <f>V92*FRACw.sA</f>
        <v>3.8903851761695769E-38</v>
      </c>
      <c r="W93" s="162">
        <f>W92*FRACw.sT</f>
        <v>5.9700007623827534E-31</v>
      </c>
      <c r="X93" s="166"/>
      <c r="Y93" s="156"/>
      <c r="Z93" s="17"/>
      <c r="AA93" s="312" t="s">
        <v>141</v>
      </c>
      <c r="AB93" s="162" t="s">
        <v>198</v>
      </c>
      <c r="AC93" s="161">
        <f>E.aTS*Molweight</f>
        <v>0</v>
      </c>
      <c r="AD93" s="163">
        <f>k.aM.aT*(M.aMS+M.aMA+M.aMP)*Molweight</f>
        <v>6.6438936418318925E-2</v>
      </c>
      <c r="AE93" s="163">
        <f>k.aT.aM*(M.aTS+M.aTA+M.aTP)*Molweight</f>
        <v>1.7149928567109996E-2</v>
      </c>
      <c r="AF93" s="163">
        <f>kesc.aT*VOLUME.aT*(C.aTS+C.aTA+C.aTP)*Molweight</f>
        <v>1.5717011137669029E-5</v>
      </c>
      <c r="AG93" s="163"/>
      <c r="AH93" s="162">
        <f>(kdegS.a*C.aTS+kdegA.a*C.aTA+kdegP.a*C.aTP)*VOLUME.aT*Molweight</f>
        <v>0</v>
      </c>
      <c r="AI93" s="163">
        <f>SUM(AI94,AK97)</f>
        <v>4.9273290840071246E-2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456.57286500292821</v>
      </c>
      <c r="D94" s="446">
        <f t="shared" si="30"/>
        <v>6.730039749119672E-8</v>
      </c>
      <c r="E94" s="295">
        <f>E92*FRs.s3C</f>
        <v>39.843636952545076</v>
      </c>
      <c r="F94" s="446">
        <f t="shared" si="34"/>
        <v>3.302197985585922E-10</v>
      </c>
      <c r="G94" s="296">
        <f>(1-FRw.sM)*G92</f>
        <v>13.750692475155661</v>
      </c>
      <c r="H94" s="446">
        <f t="shared" si="31"/>
        <v>7.0856749880019012E-13</v>
      </c>
      <c r="I94" s="296">
        <f>(1-FRw.sA)*I92</f>
        <v>4.2656233339722718</v>
      </c>
      <c r="J94" s="446">
        <f t="shared" si="32"/>
        <v>3.3203122205727049E-13</v>
      </c>
      <c r="K94" s="296">
        <f>(1-FRw.sT)*K92</f>
        <v>0.32742865541674682</v>
      </c>
      <c r="L94" s="461">
        <f t="shared" si="33"/>
        <v>6.8413627231016472E-15</v>
      </c>
      <c r="M94" s="124">
        <f>C.s3R*FRs.s3R*(Molweight*1000)/(FRACs.s3R*RHOsolid)</f>
        <v>2.6633583585068214E-7</v>
      </c>
      <c r="N94" s="124">
        <f>C.s3C*FRs.s3C*(Molweight*1000)/(FRACs.s3C*RHOsolid)</f>
        <v>1.5240185800283456E-9</v>
      </c>
      <c r="O94" s="124">
        <f>C.sM*FRs.sM*(Molweight*1000)/(FRACs.sM*RHOsolid)</f>
        <v>4.7270794729539706E-12</v>
      </c>
      <c r="P94" s="124">
        <f>C.sA*FRs.sA*(Molweight*1000)/(FRACs.sA*RHOsolid)</f>
        <v>3.3455869286057024E-12</v>
      </c>
      <c r="Q94" s="124">
        <f>C.sT*FRs.sT*(Molweight*1000)/(FRACs.sT*RHOsolid)</f>
        <v>1.1413635047206855E-13</v>
      </c>
      <c r="R94" s="160" t="s">
        <v>164</v>
      </c>
      <c r="S94" s="163">
        <f>S92*(1-FRACw.s3R)</f>
        <v>6.0277369087886628E-27</v>
      </c>
      <c r="T94" s="163">
        <f>T92*(1-FRACw.s3C)</f>
        <v>3.4491727390627146E-29</v>
      </c>
      <c r="U94" s="163">
        <f>U92*(1-FRACw.sM)</f>
        <v>1.0698369342185136E-31</v>
      </c>
      <c r="V94" s="163">
        <f>V92*(1-FRACw.sA)</f>
        <v>1.5561540704678307E-37</v>
      </c>
      <c r="W94" s="162">
        <f>W92*(1-FRACw.sT)</f>
        <v>2.3880003049531014E-30</v>
      </c>
      <c r="X94" s="166"/>
      <c r="Y94" s="156"/>
      <c r="Z94" s="17"/>
      <c r="AA94" s="312" t="s">
        <v>186</v>
      </c>
      <c r="AB94" s="162" t="s">
        <v>199</v>
      </c>
      <c r="AC94" s="161">
        <f>E.w2TS*Molweight</f>
        <v>0</v>
      </c>
      <c r="AD94" s="163">
        <f>(k.w2M.w2T*(M.w2MS+M.w2MA+M.w2MP)+k.w3T.w2T*(M.w3TS+M.w3TA+M.w3TP))*Molweight</f>
        <v>26367.223168907534</v>
      </c>
      <c r="AE94" s="163">
        <f>(k.w2T.w2M*(M.w2TS+M.w2TA+M.w2TP)+k.w2TS.w3TS*M.w2TS+k.w2TA.w3TA*M.w2TA+k.w2TP.w3TP*M.w2TP)*Molweight</f>
        <v>26367.261616363921</v>
      </c>
      <c r="AF94" s="163"/>
      <c r="AG94" s="163">
        <f>(kdis.w2S.w2D*M.w2TS+kdis.w2A.w2D*M.w2TA+kdis.w2P.w2D*M.w2TP)*Molweight</f>
        <v>1.0781404898583393E-2</v>
      </c>
      <c r="AH94" s="162">
        <f>(kdegS.w2*C.w2TS+kdegA.w2*C.w2TA+kdegP.w2*C.w2TP)*VOLUME.w2T*Molweight</f>
        <v>0</v>
      </c>
      <c r="AI94" s="163">
        <f>((k.aTS.w2TS*M.aTS+k.aTA.w2TA*M.aTA+k.aTP.w2TP*M.aTP)+(k.cwTS.w2TS*M.cwTS+k.cwTA.w2TA*M.cwTA+k.cwTP.w2TP*M.cwTP))*Molweight</f>
        <v>4.2634790513054889E-2</v>
      </c>
      <c r="AJ94" s="163"/>
      <c r="AK94" s="163"/>
      <c r="AL94" s="163"/>
      <c r="AM94" s="163">
        <f>(k.sTS.w2TS*M.sTS+k.sTA.w2TA*M.sTA+k.sTP.w2TP*M.sTP)*Molweight</f>
        <v>6.5940707690925792E-3</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26.413295529184314</v>
      </c>
      <c r="BQ94" s="96">
        <f>IF(ISERROR(F52),0,F52)</f>
        <v>0.91852756305373118</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1.6052113989415549E-2</v>
      </c>
      <c r="D95" s="446">
        <f t="shared" si="30"/>
        <v>2.3661363494625056E-12</v>
      </c>
      <c r="E95" s="295">
        <f>M.s3CS*Molweight</f>
        <v>1.2455395989241437E-3</v>
      </c>
      <c r="F95" s="446">
        <f t="shared" si="34"/>
        <v>1.0322898884540908E-14</v>
      </c>
      <c r="G95" s="296">
        <f>M.sMS*Molweight</f>
        <v>3.0402418325802178E-4</v>
      </c>
      <c r="H95" s="446">
        <f t="shared" si="31"/>
        <v>1.5666240481715705E-17</v>
      </c>
      <c r="I95" s="296">
        <f>M.sAS*Molweight</f>
        <v>1.579662053775206E-6</v>
      </c>
      <c r="J95" s="446">
        <f t="shared" si="32"/>
        <v>1.2295908032368449E-19</v>
      </c>
      <c r="K95" s="296">
        <f>M.sTS*Molweight</f>
        <v>2.1051072656740874E-6</v>
      </c>
      <c r="L95" s="461">
        <f t="shared" si="33"/>
        <v>4.3984550946473254E-20</v>
      </c>
      <c r="M95" s="124">
        <f>C.s3RS*(Molweight*1000)/(FRACw.s3R*1000+(1-FRACa.s3R-FRACw.s3R)*RHOsolid)</f>
        <v>8.2621691331092022E-12</v>
      </c>
      <c r="N95" s="124">
        <f>C.s3CS*(Molweight*1000)/(FRACw.s3C*1000+(1-FRACa.s3C-FRACw.s3C)*RHOsolid)</f>
        <v>4.2036946750758479E-14</v>
      </c>
      <c r="O95" s="124">
        <f>C.sMS*(Molweight*1000)/(FRACw.sM*1000+(1-FRACa.sM-FRACw.sM)*RHOsolid)</f>
        <v>9.221865896981834E-17</v>
      </c>
      <c r="P95" s="124">
        <f>C.sAS*(Molweight*1000)/(FRACw.sA*1000+(1-FRACa.sA-FRACw.sA)*RHOsolid)</f>
        <v>1.0931917327164053E-18</v>
      </c>
      <c r="Q95" s="124">
        <f>C.sTS*(Molweight*1000)/(FRACw.sT*1000+(1-FRACa.sT-FRACw.sT)*RHOsolid)</f>
        <v>6.4747628317542063E-19</v>
      </c>
      <c r="R95" s="160" t="s">
        <v>237</v>
      </c>
      <c r="S95" s="163"/>
      <c r="T95" s="163"/>
      <c r="U95" s="163"/>
      <c r="V95" s="163"/>
      <c r="W95" s="162"/>
      <c r="X95" s="166"/>
      <c r="Y95" s="156"/>
      <c r="Z95" s="17"/>
      <c r="AA95" s="312" t="s">
        <v>189</v>
      </c>
      <c r="AB95" s="162" t="s">
        <v>200</v>
      </c>
      <c r="AC95" s="161"/>
      <c r="AD95" s="163">
        <f>(k.w2TS.w3TS*M.w2TS+k.w2TA.w3TA*M.w2TA+k.w2TP.w3TP*M.w2TP+k.w3M.w3T*(M.w3MS+M.w3MA+M.w3MP))*Molweight</f>
        <v>26367.579942229397</v>
      </c>
      <c r="AE95" s="163">
        <f>(k.w3T.w2T+k.w3T.w3M)*(M.w3TS+M.w3TA+M.w3TP)*Molweight</f>
        <v>26367.223168907534</v>
      </c>
      <c r="AF95" s="163"/>
      <c r="AG95" s="163">
        <f>(kdis.w2S.w2D*M.w3TS+kdis.w2A.w2D*M.w3TA+kdis.w2P.w2D*M.w3TP)*Molweight</f>
        <v>0.34809068111512137</v>
      </c>
      <c r="AH95" s="162">
        <f>(kdegS.w3*C.w3TS+kdegA.w3*C.w3TA+kdegP.w3*C.w3TP)*VOLUME.w3T*Molweight</f>
        <v>0</v>
      </c>
      <c r="AI95" s="163"/>
      <c r="AJ95" s="163"/>
      <c r="AK95" s="163"/>
      <c r="AL95" s="163"/>
      <c r="AM95" s="163"/>
      <c r="AN95" s="163">
        <f>(k.w3TS.sdTS*M.w3TS+k.w3TA.sdTA*M.w3TA+k.w3TP.sdTP*M.w3TP)*Molweight</f>
        <v>62.199706592788267</v>
      </c>
      <c r="AO95" s="162">
        <f>(k.sdTS.w3TS*M.sdTS+k.sdTA.w3TA*M.sdTA+k.sdTP.w3TP*M.sdTP)*Molweight</f>
        <v>62.191023952032211</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20407.696675512583</v>
      </c>
      <c r="D96" s="446">
        <f t="shared" si="30"/>
        <v>3.0081640925659523E-6</v>
      </c>
      <c r="E96" s="295">
        <f>M.s3CA*Molweight</f>
        <v>20098.930470540978</v>
      </c>
      <c r="F96" s="446">
        <f t="shared" si="34"/>
        <v>1.6657778453131998E-7</v>
      </c>
      <c r="G96" s="296">
        <f>M.sMA*Molweight</f>
        <v>160195.93339730063</v>
      </c>
      <c r="H96" s="446">
        <f t="shared" si="31"/>
        <v>8.2548302240322047E-9</v>
      </c>
      <c r="I96" s="296">
        <f>M.sAA*Molweight</f>
        <v>70542.793666353944</v>
      </c>
      <c r="J96" s="446">
        <f t="shared" si="32"/>
        <v>5.4909700539737423E-9</v>
      </c>
      <c r="K96" s="296">
        <f>M.sTA*Molweight</f>
        <v>25173.890389832908</v>
      </c>
      <c r="L96" s="461">
        <f t="shared" si="33"/>
        <v>5.2598852439853072E-10</v>
      </c>
      <c r="M96" s="124">
        <f>C.s3RA*(Molweight*1000)/(FRACw.s3R*1000+(1-FRACa.s3R-FRACw.s3R)*RHOsolid)</f>
        <v>1.0504027174330724E-5</v>
      </c>
      <c r="N96" s="124">
        <f>C.s3CA*(Molweight*1000)/(FRACw.s3C*1000+(1-FRACa.s3C-FRACw.s3C)*RHOsolid)</f>
        <v>6.7833866596222477E-7</v>
      </c>
      <c r="O96" s="124">
        <f>C.sMA*(Molweight*1000)/(FRACw.sM*1000+(1-FRACa.sM-FRACw.sM)*RHOsolid)</f>
        <v>4.8591707383289574E-8</v>
      </c>
      <c r="P96" s="124">
        <f>C.sAA*(Molweight*1000)/(FRACw.sA*1000+(1-FRACa.sA-FRACw.sA)*RHOsolid)</f>
        <v>4.8818542329656695E-8</v>
      </c>
      <c r="Q96" s="124">
        <f>C.sTA*(Molweight*1000)/(FRACw.sT*1000+(1-FRACa.sT-FRACw.sT)*RHOsolid)</f>
        <v>7.7428344144045815E-9</v>
      </c>
      <c r="R96" s="160" t="s">
        <v>237</v>
      </c>
      <c r="S96" s="163"/>
      <c r="T96" s="163"/>
      <c r="U96" s="163"/>
      <c r="V96" s="163"/>
      <c r="W96" s="162"/>
      <c r="X96" s="166"/>
      <c r="Y96" s="156"/>
      <c r="Z96" s="17"/>
      <c r="AA96" s="312" t="s">
        <v>205</v>
      </c>
      <c r="AB96" s="162" t="s">
        <v>201</v>
      </c>
      <c r="AC96" s="161"/>
      <c r="AD96" s="163"/>
      <c r="AE96" s="163"/>
      <c r="AF96" s="163">
        <f>kbur.sdT*(M.sdTS+M.sdTA+M.sdTP)*Molweight</f>
        <v>8.0481264654942326E-3</v>
      </c>
      <c r="AG96" s="163">
        <f>(kdis.sd2S.sd2D*M.sdTS+kdis.sd2A.sd2D*M.sdTA+kdis.sd2P.sd2D*M.sdTP)*Molweight</f>
        <v>6.3451429053956222E-4</v>
      </c>
      <c r="AH96" s="162">
        <f>(kdegS.sd2*C.sdTS+kdegA.sd2*C.sdTA+kdegP.sd2*C.sdTP)*VOLUME.sdT*Molweight</f>
        <v>0</v>
      </c>
      <c r="AI96" s="163"/>
      <c r="AJ96" s="163"/>
      <c r="AK96" s="163"/>
      <c r="AL96" s="163"/>
      <c r="AM96" s="163"/>
      <c r="AN96" s="163">
        <f>AN95</f>
        <v>62.199706592788267</v>
      </c>
      <c r="AO96" s="162">
        <f>AO95</f>
        <v>62.191023952032211</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21699274.120977048</v>
      </c>
      <c r="D97" s="446">
        <f t="shared" si="30"/>
        <v>3.1985470130881026E-3</v>
      </c>
      <c r="E97" s="295">
        <f>M.s3CP*Molweight</f>
        <v>1875307.4402443627</v>
      </c>
      <c r="F97" s="446">
        <f t="shared" si="34"/>
        <v>1.5542347348724305E-5</v>
      </c>
      <c r="G97" s="296">
        <f>M.sMP*Molweight</f>
        <v>493939.70523456822</v>
      </c>
      <c r="H97" s="446">
        <f t="shared" si="31"/>
        <v>2.5452508819356693E-8</v>
      </c>
      <c r="I97" s="296">
        <f>M.sAP*Molweight</f>
        <v>2596.1976868884144</v>
      </c>
      <c r="J97" s="446">
        <f t="shared" si="32"/>
        <v>2.0208504670689769E-10</v>
      </c>
      <c r="K97" s="296">
        <f>M.sTP*Molweight</f>
        <v>3682.4492088085944</v>
      </c>
      <c r="L97" s="461">
        <f t="shared" si="33"/>
        <v>7.6941862998499615E-11</v>
      </c>
      <c r="M97" s="124">
        <f>C.s3RP*(Molweight*1000)/(FRACw.s3R*1000+(1-FRACa.s3R-FRACw.s3R)*RHOsolid)</f>
        <v>1.1168813837942321E-2</v>
      </c>
      <c r="N97" s="124">
        <f>C.s3CP*(Molweight*1000)/(FRACw.s3C*1000+(1-FRACa.s3C-FRACw.s3C)*RHOsolid)</f>
        <v>6.3291603956185845E-5</v>
      </c>
      <c r="O97" s="124">
        <f>C.sMP*(Molweight*1000)/(FRACw.sM*1000+(1-FRACa.sM-FRACw.sM)*RHOsolid)</f>
        <v>1.4982511174126271E-7</v>
      </c>
      <c r="P97" s="124">
        <f>C.sAP*(Molweight*1000)/(FRACw.sA*1000+(1-FRACa.sA-FRACw.sA)*RHOsolid)</f>
        <v>1.7966765999227779E-9</v>
      </c>
      <c r="Q97" s="124">
        <f>C.sTP*(Molweight*1000)/(FRACw.sT*1000+(1-FRACa.sT-FRACw.sT)*RHOsolid)</f>
        <v>1.1326256697604282E-9</v>
      </c>
      <c r="R97" s="160" t="s">
        <v>237</v>
      </c>
      <c r="S97" s="163"/>
      <c r="T97" s="163"/>
      <c r="U97" s="163"/>
      <c r="V97" s="163"/>
      <c r="W97" s="162"/>
      <c r="X97" s="166"/>
      <c r="Y97" s="156"/>
      <c r="Z97" s="17"/>
      <c r="AA97" s="312" t="s">
        <v>206</v>
      </c>
      <c r="AB97" s="162" t="s">
        <v>202</v>
      </c>
      <c r="AC97" s="161">
        <f>E.sTS*Molweight</f>
        <v>0</v>
      </c>
      <c r="AD97" s="163"/>
      <c r="AE97" s="163"/>
      <c r="AF97" s="163">
        <f>kleach.sT*(M.sTS+M.sTA)*Molweight</f>
        <v>4.4426672289817239E-5</v>
      </c>
      <c r="AG97" s="163">
        <f>(kdis.s1S.s1D*M.sTS+kdis.s1A.s1D*M.sTA+kdis.s1P.s1D*M.sTP)*Molweight</f>
        <v>2.8856339600746609E-9</v>
      </c>
      <c r="AH97" s="162">
        <f>(kdegS.s1*C.sTS+kdegA.s1*C.sTA+kdegP.s1*C.sTP)*VOLUME.sT*Molweight</f>
        <v>0</v>
      </c>
      <c r="AI97" s="163"/>
      <c r="AJ97" s="163"/>
      <c r="AK97" s="163">
        <f>((k.aTS.sTS*M.aTS+k.aTA.sTA*M.aTA+k.aTP.sTP*M.aTP)+(k.cwTS.sTS*M.cwTS+k.cwTA.sTA*M.cwTA+k.cwTP.sTP*M.cwTP))*Molweight</f>
        <v>6.6385003270163553E-3</v>
      </c>
      <c r="AL97" s="163"/>
      <c r="AM97" s="163">
        <f>AM94</f>
        <v>6.5940707690925792E-3</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26.956288057273117</v>
      </c>
      <c r="BQ97" s="55">
        <f>AH27</f>
        <v>2.4145929353414171E-12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0.95129375951293771</v>
      </c>
      <c r="AD98" s="913"/>
      <c r="AE98" s="913"/>
      <c r="AF98" s="914">
        <f>SUM(AF60:AF97)</f>
        <v>0.33795779591476577</v>
      </c>
      <c r="AG98" s="914"/>
      <c r="AH98" s="915">
        <f>SUM(AH60:AH97)</f>
        <v>0</v>
      </c>
      <c r="AI98" s="929"/>
      <c r="AJ98" s="930"/>
      <c r="AK98" s="930"/>
      <c r="AL98" s="929"/>
      <c r="AM98" s="929"/>
      <c r="AN98" s="929"/>
      <c r="AO98" s="486"/>
      <c r="AP98" s="931">
        <f>SUM(AP61:AP97)</f>
        <v>-2.9374687983145922E-2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1834591.2539376295</v>
      </c>
      <c r="D99" s="446">
        <f>C99/$C$103</f>
        <v>2.7042500789678693E-4</v>
      </c>
      <c r="E99" s="296">
        <f>SUM(E12,E20,E28,E36,E44,E52,E68,E76,E84,E92)</f>
        <v>111422177371.03821</v>
      </c>
      <c r="F99" s="446">
        <f>E99/$E$103</f>
        <v>0.92345508042467261</v>
      </c>
      <c r="G99" s="296">
        <f>SUM(G12,G52,G60,G68,G92)</f>
        <v>17951263819284.973</v>
      </c>
      <c r="H99" s="446">
        <f>G99/$G$103</f>
        <v>0.92502120367498886</v>
      </c>
      <c r="I99" s="296">
        <f>SUM(I12,I52,I60,I68,I92)</f>
        <v>11885425452771.432</v>
      </c>
      <c r="J99" s="446">
        <f>I99/$I$103</f>
        <v>0.92514786908748159</v>
      </c>
      <c r="K99" s="296">
        <f>SUM(K12,K52,K60,K68,K92)</f>
        <v>44265085282265.203</v>
      </c>
      <c r="L99" s="461">
        <f>K99/$K$103</f>
        <v>0.92488393845542338</v>
      </c>
      <c r="M99" s="484">
        <f xml:space="preserve"> (M.aRG+M.w0RD+M.w1RD+M.w2RD+M.sd0RD+M.sd1RD+M.sd2RD+M.s1RD+M.s2RD+M.s3RD)*Molweight/(VOLUME.aR+VOLUME.cwR+VOLUME.w0R+VOLUME.w1R+VOLUME.w2R+VOLUME.sd0R+VOLUME.sd1R+VOLUME.sd2R+VOLUME.s1R+VOLUME.s2R+VOLUME.s3R)</f>
        <v>7.9873224335051815E-9</v>
      </c>
      <c r="N99" s="484">
        <f xml:space="preserve"> (M.aCG+M.w0CD+M.w1CD+M.w2CD+M.sd0CD+M.sd1CD+M.sd2CD+M.s1CD+M.s2CD+M.s3CD)*Molweight/(VOLUME.aC+VOLUME.cwC+VOLUME.w0C+VOLUME.w1C+VOLUME.w2C+VOLUME.sd0C+VOLUME.sd1C+VOLUME.sd2C+VOLUME.s1C+VOLUME.s2C+VOLUME.s3C)</f>
        <v>1.402650408456268E-5</v>
      </c>
      <c r="O99" s="484">
        <f xml:space="preserve"> (M.aMG+M.w2MD+M.w3MD+M.sdMD+M.sMD)*Molweight/(VOLUME.aM+VOLUME.cwM+VOLUME.w2M+VOLUME.w3M+VOLUME.sdM+VOLUME.sM)</f>
        <v>9.0750210020897453E-5</v>
      </c>
      <c r="P99" s="484">
        <f xml:space="preserve"> (M.aAG+M.w2AD+M.w3AD+M.sdAD+M.sAD)*Molweight/(VOLUME.aA+VOLUME.cwA+VOLUME.w2A+VOLUME.w3A+VOLUME.sdA+VOLUME.sA)</f>
        <v>9.7780892938130069E-5</v>
      </c>
      <c r="Q99" s="484">
        <f xml:space="preserve"> (M.aTG+M.w2TD+M.w3TD+M.sdTD+M.sTD)*Molweight/(VOLUME.aT+VOLUME.cwT+VOLUME.w2T+VOLUME.w3T+VOLUME.sdT+VOLUME.sT)</f>
        <v>1.0951835861446263E-4</v>
      </c>
      <c r="R99" s="160" t="s">
        <v>158</v>
      </c>
      <c r="S99" s="163">
        <f>SUM(S12,S20,S36,S44,S52,S68,S76,S84,S92)</f>
        <v>4.542586086861148E-22</v>
      </c>
      <c r="T99" s="163">
        <f>SUM(T12,T20,T36,T44,T52,T68,T76,T84,T92)</f>
        <v>6.7098580375620904E-22</v>
      </c>
      <c r="U99" s="163">
        <f>SUM(U12,U20,U36,U44,U52,U68,U76,U84,U92)</f>
        <v>3.1585170394083055E-21</v>
      </c>
      <c r="V99" s="163">
        <f>SUM(V12,V20,V36,V44,V52,V68,V76,V84,V92)</f>
        <v>2.1691423810675497E-22</v>
      </c>
      <c r="W99" s="774">
        <f>SUM(W12,W20,W36,W44,W52,W68,W76,W84,W92)</f>
        <v>2.3631235893169412E-19</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4.9275047760028723E-3</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9665.693779164616</v>
      </c>
      <c r="D100" s="446">
        <f>C100/$C$103</f>
        <v>1.4247562289138538E-6</v>
      </c>
      <c r="E100" s="453">
        <f>SUM(E15,E23,E31,E39,E47,E55,E71,E79,E87,E95)</f>
        <v>776.29320654511582</v>
      </c>
      <c r="F100" s="446">
        <f>E100/$E$103</f>
        <v>6.4338350084117298E-9</v>
      </c>
      <c r="G100" s="453">
        <f>SUM(G15,G55,G71,G63,G95)</f>
        <v>18.320499577950862</v>
      </c>
      <c r="H100" s="446">
        <f>G100/$G$103</f>
        <v>9.4404776967944155E-13</v>
      </c>
      <c r="I100" s="453">
        <f>SUM(I15,I55,I71,I63,I95)</f>
        <v>0.1252613544229926</v>
      </c>
      <c r="J100" s="446">
        <f>I100/$I$103</f>
        <v>9.7501999893845936E-15</v>
      </c>
      <c r="K100" s="453">
        <f>SUM(K15,K55,K71,K63,K95)</f>
        <v>0.20282086660537657</v>
      </c>
      <c r="L100" s="461">
        <f>K100/$K$103</f>
        <v>4.2377815542598526E-15</v>
      </c>
      <c r="M100" s="484">
        <f xml:space="preserve"> (M.aRS+M.cwRS+M.w0RS+M.w1RS+M.w2RS+M.sd0RS+M.sd1RS+M.sd2RS+M.s1RS+M.s2RS+M.s3RS)*Molweight/(VOLUME.aR+VOLUME.cwR+VOLUME.w0R+VOLUME.w1R+VOLUME.w2R+VOLUME.sd0R+VOLUME.sd1R+VOLUME.sd2R+VOLUME.s1R+VOLUME.s2R+VOLUME.s3R)</f>
        <v>4.2081860246531869E-11</v>
      </c>
      <c r="N100" s="484">
        <f xml:space="preserve"> (M.aCS+M.cwCS+M.w0CS+M.w1CS+M.w2CS+M.sd0CS+M.sd1CS+M.sd2CS+M.s1CS+M.s2CS+M.s3CS)*Molweight/(VOLUME.aC+VOLUME.cwC+VOLUME.w0C+VOLUME.w1C+VOLUME.w2C+VOLUME.sd0C+VOLUME.sd1C+VOLUME.sd2C+VOLUME.s1C+VOLUME.s2C+VOLUME.s3C)</f>
        <v>9.7724529257436828E-14</v>
      </c>
      <c r="O100" s="484">
        <f xml:space="preserve"> (M.aMS+M.cwMS+M.w2MS+M.w3MS+M.sdMS+M.sMS)*Molweight/(VOLUME.aM+VOLUME.cwM+VOLUME.w2M+VOLUME.w3M+VOLUME.sdM+VOLUME.sM)</f>
        <v>9.2616831946990317E-17</v>
      </c>
      <c r="P100" s="484">
        <f xml:space="preserve"> (M.aAS+M.cwAS+M.w2AS+M.w3AS+M.sdAS+M.sAS)*Molweight/(VOLUME.aA+VOLUME.cwA+VOLUME.w2A+VOLUME.w3A+VOLUME.sdA+VOLUME.sA)</f>
        <v>1.0305198694644784E-18</v>
      </c>
      <c r="Q100" s="484">
        <f xml:space="preserve"> (M.aTS+M.cwTS+M.w2TS+M.w3TS+M.sdTS+M.sTS)*Molweight/(VOLUME.aT+VOLUME.cwT+VOLUME.w2T+VOLUME.w3T+VOLUME.sdT+VOLUME.sT)</f>
        <v>5.0180877912559209E-19</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25907307.759958718</v>
      </c>
      <c r="D101" s="446">
        <f>C101/$C$103</f>
        <v>3.8188255234152049E-3</v>
      </c>
      <c r="E101" s="453">
        <f>SUM(E16,E24,E32,E40,E48,E56,E72,E80,E88,E96)</f>
        <v>9198436299.2134056</v>
      </c>
      <c r="F101" s="446">
        <f>E101/$E$103</f>
        <v>7.6235655530092566E-2</v>
      </c>
      <c r="G101" s="453">
        <f>SUM(G16,G56,G64,G72,G96)</f>
        <v>1454861636368.1746</v>
      </c>
      <c r="H101" s="446">
        <f>G101/$G$103</f>
        <v>7.4968418691952421E-2</v>
      </c>
      <c r="I101" s="453">
        <f>SUM(I16,I56,I64,I72,I96)</f>
        <v>961564063077.6886</v>
      </c>
      <c r="J101" s="446">
        <f>I101/$I$103</f>
        <v>7.4847042496067384E-2</v>
      </c>
      <c r="K101" s="453">
        <f>SUM(K16,K56,K64,K72,K96)</f>
        <v>3593979306380.0522</v>
      </c>
      <c r="L101" s="461">
        <f>K101/$K$103</f>
        <v>7.5093354376611562E-2</v>
      </c>
      <c r="M101" s="484">
        <f xml:space="preserve"> (M.aRA+M.cwRA+M.w0RA+M.w1RA+M.w2RA+M.sd0RA+M.sd1RA+M.sd2RA+M.s1RA+M.s2RA+M.s3RA)*Molweight/(VOLUME.aR+VOLUME.cwR+VOLUME.w0R+VOLUME.w1R+VOLUME.w2R+VOLUME.sd0R+VOLUME.sd1R+VOLUME.sd2R+VOLUME.s1R+VOLUME.s2R+VOLUME.s3R)</f>
        <v>1.1279352826887291E-7</v>
      </c>
      <c r="N101" s="484">
        <f xml:space="preserve"> (M.aCA+M.cwCA+M.w0CA+M.w1CA+M.w2CA+M.sd0CA+M.sd1CA+M.sd2CA+M.s1CA+M.s2CA+M.s3CA)*Molweight/(VOLUME.aC+VOLUME.cwC+VOLUME.w0C+VOLUME.w1C+VOLUME.w2C+VOLUME.sd0C+VOLUME.sd1C+VOLUME.sd2C+VOLUME.s1C+VOLUME.s2C+VOLUME.s3C)</f>
        <v>1.1579553313956591E-6</v>
      </c>
      <c r="O101" s="484">
        <f xml:space="preserve"> (M.aMA+M.cwMA+M.w2MA+M.w3MA+M.sdMA+M.sMA)*Molweight/(VOLUME.aM+VOLUME.cwM+VOLUME.w2M+VOLUME.w3M+VOLUME.sdM+VOLUME.sM)</f>
        <v>7.3548581526566474E-6</v>
      </c>
      <c r="P101" s="484">
        <f xml:space="preserve"> (M.aAA+M.cwAA+M.w2AA+M.w3AA+M.sdAA+M.sAA)*Molweight/(VOLUME.aA+VOLUME.cwA+VOLUME.w2A+VOLUME.w3A+VOLUME.sdA+VOLUME.sA)</f>
        <v>7.9107469125582483E-6</v>
      </c>
      <c r="Q101" s="484">
        <f xml:space="preserve"> (M.aTA+M.cwTA+M.w2TA+M.w3TA+M.sdTA+M.sTA)*Molweight/(VOLUME.aT+VOLUME.cwT+VOLUME.w2T+VOLUME.w3T+VOLUME.sdT+VOLUME.sT)</f>
        <v>8.8920356081813889E-6</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6756351977.3650227</v>
      </c>
      <c r="D102" s="446">
        <f>C102/$C$103</f>
        <v>0.99590932471245908</v>
      </c>
      <c r="E102" s="453">
        <f>SUM(E17,E25,E33,E41,E49,E57,E73,E81,E89,E97)</f>
        <v>37314382.866233207</v>
      </c>
      <c r="F102" s="446">
        <f>E102/$E$103</f>
        <v>3.0925761139982054E-4</v>
      </c>
      <c r="G102" s="453">
        <f>SUM(G17,G57,G65,G73,G97)</f>
        <v>201391720.71778598</v>
      </c>
      <c r="H102" s="446">
        <f>G102/$G$103</f>
        <v>1.0377632114593025E-5</v>
      </c>
      <c r="I102" s="453">
        <f>SUM(I17,I57,I65,I73,I97)</f>
        <v>65371165.309438176</v>
      </c>
      <c r="J102" s="446">
        <f>I102/$I$103</f>
        <v>5.0884164413054334E-6</v>
      </c>
      <c r="K102" s="453">
        <f>SUM(K17,K57,K65,K73,K97)</f>
        <v>1086768495.4906473</v>
      </c>
      <c r="L102" s="461">
        <f>K102/$K$103</f>
        <v>2.2707167960690045E-5</v>
      </c>
      <c r="M102" s="484">
        <f xml:space="preserve"> (M.aRP+M.cwRP+M.w0RP+M.w1RP+M.w2RP+M.sd0RP+M.sd1RP+M.sd2RP+M.s1RP+M.s2RP+M.s3RP)*Molweight/(VOLUME.aR+VOLUME.cwR+VOLUME.w0R+VOLUME.w1R+VOLUME.w2R+VOLUME.sd0R+VOLUME.sd1R+VOLUME.sd2R+VOLUME.s1R+VOLUME.s2R+VOLUME.s3R)</f>
        <v>2.9415359743832812E-5</v>
      </c>
      <c r="N102" s="484">
        <f xml:space="preserve"> (M.aCP+M.cwCP+M.w0CP+M.w1CP+M.w2CP+M.sd0CP+M.sd1CP+M.sd2CP+M.s1CP+M.s2CP+M.s3CP)*Molweight/(VOLUME.aC+VOLUME.cwC+VOLUME.w0C+VOLUME.w1C+VOLUME.w2C+VOLUME.sd0C+VOLUME.sd1C+VOLUME.sd2C+VOLUME.s1C+VOLUME.s2C+VOLUME.s3C)</f>
        <v>4.6973623746667165E-9</v>
      </c>
      <c r="O102" s="484">
        <f xml:space="preserve"> (M.aMP+M.cwMP+M.w2MP+M.w3MP+M.sdMP+M.sMP)*Molweight/(VOLUME.aM+VOLUME.cwM+VOLUME.w2M+VOLUME.w3M+VOLUME.sdM+VOLUME.sM)</f>
        <v>1.018108871642497E-9</v>
      </c>
      <c r="P102" s="484">
        <f xml:space="preserve"> (M.aAP+M.cwAP+M.w2AP+M.w3AP+M.sdAP+M.sAP)*Molweight/(VOLUME.aA+VOLUME.cwA+VOLUME.w2A+VOLUME.w3A+VOLUME.sdA+VOLUME.sA)</f>
        <v>5.3780581450472902E-10</v>
      </c>
      <c r="Q102" s="484">
        <f xml:space="preserve"> (M.aTP+M.cwTP+M.w2TP+M.w3TP+M.sdTP+M.sTP)*Molweight/(VOLUME.aT+VOLUME.cwT+VOLUME.w2T+VOLUME.w3T+VOLUME.sdT+VOLUME.sT)</f>
        <v>2.6888257655233867E-9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6784103542.0726986</v>
      </c>
      <c r="D103" s="770"/>
      <c r="E103" s="772">
        <f>SUM(E99:E102)</f>
        <v>120657928829.41106</v>
      </c>
      <c r="F103" s="770"/>
      <c r="G103" s="772">
        <f>SUM(G99:G102)</f>
        <v>19406326847392.188</v>
      </c>
      <c r="H103" s="770"/>
      <c r="I103" s="772">
        <f>SUM(I99:I102)</f>
        <v>12847054887014.555</v>
      </c>
      <c r="J103" s="770"/>
      <c r="K103" s="772">
        <f>SUM(K99:K102)</f>
        <v>47860151357140.953</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2.9536182676395444E-5</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1.5189156876057534E-5</v>
      </c>
      <c r="O103" s="767">
        <f xml:space="preserve"> (M.aMG+M.aMS+M.aMA+M.aMP+M.cwMS+M.cwMA+M.cwMP+M.w2MD+M.w2MS+M.w2MA+M.w2MP+M.w3MD+M.w3MS+M.w3MA+M.w3MP+M.sdMD+M.sdMS+M.sdMA+M.sdMP+M.sMD+M.sMS+M.sMA+M.sMP)*Molweight/(VOLUME.aM+VOLUME.cwM+VOLUME.w2M+VOLUME.w3M+VOLUME.sdM+VOLUME.sM)</f>
        <v>9.810608628251836E-5</v>
      </c>
      <c r="P103" s="767">
        <f xml:space="preserve"> (M.aAG+M.aAS+M.aAA+M.aAP+M.cwAS+M.cwAA+M.cwAP+M.w2AD+M.w2AS+M.w2AA+M.w2AP+M.w3AD+M.w3AS+M.w3AA+M.w3AP+M.sdAD+M.sdAS+M.sdAA+M.sdAP+M.sAD+M.sAS+M.sAA+M.sAP)*Molweight/(VOLUME.aA+VOLUME.cwA+VOLUME.w2A+VOLUME.w3A+VOLUME.sdA+VOLUME.sA)</f>
        <v>1.0569217765650384E-4</v>
      </c>
      <c r="Q103" s="767">
        <f xml:space="preserve"> (M.aTG+M.aTS+M.aTA+M.aTP+M.cwTS+M.cwTA+M.cwTP+M.w2TD+M.w2TS+M.w2TA+M.w2TP+M.w3TD+M.w3TS+M.w3TA+M.w3TP+M.sdTD+M.sdTS+M.sdTA+M.sdTP+M.sTD+M.sTS+M.sTA+M.sTP)*Molweight/(VOLUME.aT+VOLUME.cwT+VOLUME.w2T+VOLUME.w3T+VOLUME.sdT+VOLUME.sT)</f>
        <v>1.1841308304841003E-4</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0.5430155021201778</v>
      </c>
      <c r="BQ103" s="113"/>
      <c r="BR103" s="113"/>
      <c r="BS103" s="22">
        <f>AF26</f>
        <v>5.3268315255024682E-8</v>
      </c>
      <c r="BT103" s="113"/>
      <c r="BU103" s="113"/>
      <c r="BV103" s="113"/>
      <c r="BW103" s="22">
        <f>AF28</f>
        <v>3.4076079184376988E-9</v>
      </c>
      <c r="BX103" s="2"/>
      <c r="BY103" s="113"/>
      <c r="BZ103" s="22">
        <f>AF30</f>
        <v>1.2620770068287769E-9</v>
      </c>
      <c r="CA103" s="113"/>
      <c r="CB103" s="112">
        <f>AF29</f>
        <v>1.6559991783765669E-8</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7.9873224335051782E-9</v>
      </c>
      <c r="N105" s="765">
        <f>E99/(VOLUME.aC+VOLUME.cwC+VOLUME.s1C+VOLUME.s2C+VOLUME.s3C+VOLUME.sd0C+VOLUME.sd1C+VOLUME.sd2C+VOLUME.w0C+VOLUME.w1C+VOLUME.w2C)</f>
        <v>1.4026504084562685E-5</v>
      </c>
      <c r="O105" s="765">
        <f>G99/(VOLUME.aM+VOLUME.cwM+VOLUME.sdM+VOLUME.sM+VOLUME.w2M+VOLUME.w3M)</f>
        <v>9.0750210020897453E-5</v>
      </c>
      <c r="P105" s="765">
        <f>I99/(VOLUME.aA+VOLUME.cwA+VOLUME.sdA+VOLUME.sA+VOLUME.w2A+VOLUME.w3A)</f>
        <v>9.7780892938130069E-5</v>
      </c>
      <c r="Q105" s="765">
        <f>K99/(VOLUME.aT+VOLUME.cwT+VOLUME.sdT+VOLUME.sT+VOLUME.w2T+VOLUME.w3T)</f>
        <v>1.0951835861446261E-4</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4.2081860246531869E-11</v>
      </c>
      <c r="N106" s="765">
        <f>E100/(VOLUME.aC+VOLUME.cwC+VOLUME.s1C+VOLUME.s2C+VOLUME.s3C+VOLUME.sd0C+VOLUME.sd1C+VOLUME.sd2C+VOLUME.w0C+VOLUME.w1C+VOLUME.w2C)</f>
        <v>9.7724529257436765E-14</v>
      </c>
      <c r="O106" s="765">
        <f>G100/(VOLUME.aM+VOLUME.cwM+VOLUME.sdM+VOLUME.sM+VOLUME.w2M+VOLUME.w3M)</f>
        <v>9.2616831946990317E-17</v>
      </c>
      <c r="P106" s="765">
        <f>I100/(VOLUME.aA+VOLUME.cwA+VOLUME.sdA+VOLUME.sA+VOLUME.w2A+VOLUME.w3A)</f>
        <v>1.0305198694644784E-18</v>
      </c>
      <c r="Q106" s="765">
        <f>K100/(VOLUME.aT+VOLUME.cwT+VOLUME.sdT+VOLUME.sT+VOLUME.w2T+VOLUME.w3T)</f>
        <v>5.0180877912559209E-19</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1.1279352826887293E-7</v>
      </c>
      <c r="N107" s="765">
        <f>E101/(VOLUME.aC+VOLUME.cwC+VOLUME.s1C+VOLUME.s2C+VOLUME.s3C+VOLUME.sd0C+VOLUME.sd1C+VOLUME.sd2C+VOLUME.w0C+VOLUME.w1C+VOLUME.w2C)</f>
        <v>1.1579553313956595E-6</v>
      </c>
      <c r="O107" s="765">
        <f>G101/(VOLUME.aM+VOLUME.cwM+VOLUME.sdM+VOLUME.sM+VOLUME.w2M+VOLUME.w3M)</f>
        <v>7.3548581526566474E-6</v>
      </c>
      <c r="P107" s="765">
        <f>I101/(VOLUME.aA+VOLUME.cwA+VOLUME.sdA+VOLUME.sA+VOLUME.w2A+VOLUME.w3A)</f>
        <v>7.9107469125582483E-6</v>
      </c>
      <c r="Q107" s="765">
        <f>K101/(VOLUME.aT+VOLUME.cwT+VOLUME.sdT+VOLUME.sT+VOLUME.w2T+VOLUME.w3T)</f>
        <v>8.8920356081813889E-6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9.3857385063496984E-24</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2.9415359743832815E-5</v>
      </c>
      <c r="N108" s="765">
        <f>E102/(VOLUME.aC+VOLUME.cwC+VOLUME.s1C+VOLUME.s2C+VOLUME.s3C+VOLUME.sd0C+VOLUME.sd1C+VOLUME.sd2C+VOLUME.w0C+VOLUME.w1C+VOLUME.w2C)</f>
        <v>4.6973623746667148E-9</v>
      </c>
      <c r="O108" s="765">
        <f>G102/(VOLUME.aM+VOLUME.cwM+VOLUME.sdM+VOLUME.sM+VOLUME.w2M+VOLUME.w3M)</f>
        <v>1.018108871642497E-9</v>
      </c>
      <c r="P108" s="765">
        <f>I102/(VOLUME.aA+VOLUME.cwA+VOLUME.sdA+VOLUME.sA+VOLUME.w2A+VOLUME.w3A)</f>
        <v>5.3780581450472902E-10</v>
      </c>
      <c r="Q108" s="765">
        <f>K102/(VOLUME.aT+VOLUME.cwT+VOLUME.sdT+VOLUME.sT+VOLUME.w2T+VOLUME.w3T)</f>
        <v>2.6888257655233859E-9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2.9536182676395444E-5</v>
      </c>
      <c r="N109" s="765">
        <f>E103/(VOLUME.aC+VOLUME.cwC+VOLUME.s1C+VOLUME.s2C+VOLUME.s3C+VOLUME.sd0C+VOLUME.sd1C+VOLUME.sd2C+VOLUME.w0C+VOLUME.w1C+VOLUME.w2C)</f>
        <v>1.5189156876057542E-5</v>
      </c>
      <c r="O109" s="765">
        <f>G103/(VOLUME.aM+VOLUME.cwM+VOLUME.sdM+VOLUME.sM+VOLUME.w2M+VOLUME.w3M)</f>
        <v>9.8106086282518374E-5</v>
      </c>
      <c r="P109" s="765">
        <f>I103/(VOLUME.aA+VOLUME.cwA+VOLUME.sdA+VOLUME.sA+VOLUME.w2A+VOLUME.w3A)</f>
        <v>1.0569217765650385E-4</v>
      </c>
      <c r="Q109" s="765">
        <f>K103/(VOLUME.aT+VOLUME.cwT+VOLUME.sdT+VOLUME.sT+VOLUME.w2T+VOLUME.w3T)</f>
        <v>1.1841308304841003E-4</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1.6264252434136933E-10</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1.5630409040235168E-10</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1.4922622782131446E-4</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4.9572741343635731E-9</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4.1053048315708553E-3</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1.353687091672237E-9</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1.6263654840416152E-9</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1.3536870916722364E-9</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1.679740403698776E-18</v>
      </c>
      <c r="BT126" s="75"/>
      <c r="BU126" s="75" t="s">
        <v>252</v>
      </c>
      <c r="BV126" s="2"/>
      <c r="BW126" s="113"/>
      <c r="BX126" s="113"/>
      <c r="BY126" s="114">
        <f>AF38</f>
        <v>7.3156626246149559E-20</v>
      </c>
      <c r="BZ126" s="75"/>
      <c r="CA126" s="75" t="s">
        <v>253</v>
      </c>
      <c r="CB126" s="2"/>
      <c r="CC126" s="113"/>
      <c r="CD126" s="113"/>
      <c r="CE126" s="114">
        <f>AF44</f>
        <v>3.7526228354245966E-17</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2.3628231829309111E-22</v>
      </c>
      <c r="BS132" s="339"/>
      <c r="BT132" s="2"/>
      <c r="BU132" s="106"/>
      <c r="BV132" s="113"/>
      <c r="BW132" s="76" t="s">
        <v>91</v>
      </c>
      <c r="BX132" s="77">
        <f>IF(ISERROR(J12),0,J12)</f>
        <v>1.5544705037154932E-23</v>
      </c>
      <c r="BY132" s="113"/>
      <c r="BZ132" s="2"/>
      <c r="CA132" s="106"/>
      <c r="CB132" s="113"/>
      <c r="CC132" s="76" t="s">
        <v>91</v>
      </c>
      <c r="CD132" s="77">
        <f>IF(ISERROR(L12),0,L12)</f>
        <v>2.1403916376408455E-21</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4.1179119563171797E-14</v>
      </c>
      <c r="BP134" s="339"/>
      <c r="BQ134" s="339">
        <f>AH32</f>
        <v>1.746277580309085E-41</v>
      </c>
      <c r="BR134" s="339"/>
      <c r="BS134" s="339"/>
      <c r="BT134" s="308" t="s">
        <v>255</v>
      </c>
      <c r="BU134" s="301">
        <f>AD38</f>
        <v>1.7393367882091611E-15</v>
      </c>
      <c r="BV134" s="113"/>
      <c r="BW134" s="55">
        <f>AH38</f>
        <v>3.3059823674545461E-47</v>
      </c>
      <c r="BX134" s="113"/>
      <c r="BY134" s="113"/>
      <c r="BZ134" s="308" t="s">
        <v>255</v>
      </c>
      <c r="CA134" s="301">
        <f>AD44</f>
        <v>3.012619688651935E-15</v>
      </c>
      <c r="CB134" s="113"/>
      <c r="CC134" s="55">
        <f>AH44</f>
        <v>1.7188113998428497E-39</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5.3399901853994841E-15</v>
      </c>
      <c r="BO135" s="344" t="s">
        <v>254</v>
      </c>
      <c r="BP135" s="339"/>
      <c r="BQ135" s="339"/>
      <c r="BR135" s="339"/>
      <c r="BS135" s="347">
        <f>k.sM.aM*M.sM*Molweight</f>
        <v>1.3805075706475297E-25</v>
      </c>
      <c r="BT135" s="131">
        <f>AE38</f>
        <v>1.3826321489088828E-16</v>
      </c>
      <c r="BU135" s="128" t="s">
        <v>255</v>
      </c>
      <c r="BV135" s="113"/>
      <c r="BW135" s="113"/>
      <c r="BX135" s="113"/>
      <c r="BY135" s="347">
        <f>k.sA.aA*M.sA*Molweight</f>
        <v>9.5376602708935079E-32</v>
      </c>
      <c r="BZ135" s="131">
        <f>AE44</f>
        <v>4.0947488681605883E-14</v>
      </c>
      <c r="CA135" s="128" t="s">
        <v>255</v>
      </c>
      <c r="CB135" s="113"/>
      <c r="CC135" s="113"/>
      <c r="CD135" s="113"/>
      <c r="CE135" s="347">
        <f>k.sT.aT*M.sT*Molweight</f>
        <v>2.9053267874963309E-24</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4.2582388035069386E-16</v>
      </c>
      <c r="BQ136" s="339"/>
      <c r="BR136" s="339"/>
      <c r="BS136" s="339"/>
      <c r="BT136" s="2"/>
      <c r="BU136" s="113"/>
      <c r="BV136" s="345">
        <f>k.w2A.aA*M.w2A*Molweight</f>
        <v>7.5972799331850219E-22</v>
      </c>
      <c r="BW136" s="113"/>
      <c r="BX136" s="113"/>
      <c r="BY136" s="113"/>
      <c r="BZ136" s="2"/>
      <c r="CA136" s="113"/>
      <c r="CB136" s="345">
        <f>k.w2T.aT*M.w2T*Molweight</f>
        <v>8.66341335216401E-13</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6.4978018554356767E-8</v>
      </c>
      <c r="BR139" s="339"/>
      <c r="BS139" s="347">
        <f>IF(AK36&lt;0,"",AK36)</f>
        <v>1.8131636758926032E-14</v>
      </c>
      <c r="BT139" s="2"/>
      <c r="BU139" s="113"/>
      <c r="BV139" s="2"/>
      <c r="BW139" s="306">
        <f>AM39</f>
        <v>7.2656437722557031E-9</v>
      </c>
      <c r="BX139" s="113"/>
      <c r="BY139" s="138">
        <f>IF(AK42&lt;0,"",AK42)</f>
        <v>6.4040047056800808E-16</v>
      </c>
      <c r="BZ139" s="2"/>
      <c r="CA139" s="113"/>
      <c r="CB139" s="2"/>
      <c r="CC139" s="306">
        <f>AM45</f>
        <v>2.8666210252026784E-9</v>
      </c>
      <c r="CD139" s="113"/>
      <c r="CE139" s="138">
        <f>IF(AK48&lt;0,"",AK48)</f>
        <v>2.4851068199920229E-13</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1.8131636758931326E-14</v>
      </c>
      <c r="BQ140" s="339"/>
      <c r="BR140" s="339"/>
      <c r="BS140" s="339"/>
      <c r="BT140" s="2"/>
      <c r="BU140" s="307">
        <f>AC39</f>
        <v>0</v>
      </c>
      <c r="BV140" s="136">
        <f>IF(AI39&lt;0,"",AI39)</f>
        <v>9.6060070585201212E-16</v>
      </c>
      <c r="BW140" s="2"/>
      <c r="BX140" s="113"/>
      <c r="BY140" s="113"/>
      <c r="BZ140" s="2"/>
      <c r="CA140" s="307">
        <f>AC45</f>
        <v>0</v>
      </c>
      <c r="CB140" s="136">
        <f>IF(AI45&lt;0,"",AI45)</f>
        <v>5.7985825799879554E-13</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170104.07755112785</v>
      </c>
      <c r="BP141" s="339"/>
      <c r="BQ141" s="342" t="s">
        <v>256</v>
      </c>
      <c r="BR141" s="339"/>
      <c r="BS141" s="339"/>
      <c r="BT141" s="2"/>
      <c r="BU141" s="134">
        <f>AD39</f>
        <v>124864.72463688733</v>
      </c>
      <c r="BV141" s="113"/>
      <c r="BW141" s="98" t="s">
        <v>256</v>
      </c>
      <c r="BX141" s="113"/>
      <c r="BY141" s="113"/>
      <c r="BZ141" s="2"/>
      <c r="CA141" s="134">
        <f>AD45</f>
        <v>325093.35388609581</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170104.08222925174</v>
      </c>
      <c r="BO142" s="339"/>
      <c r="BP142" s="349"/>
      <c r="BQ142" s="96">
        <f>IF(ISERROR(H52),0,H52)</f>
        <v>2.9829033429590094E-2</v>
      </c>
      <c r="BR142" s="339"/>
      <c r="BS142" s="339"/>
      <c r="BT142" s="131">
        <f>AE39</f>
        <v>124864.72837743918</v>
      </c>
      <c r="BU142" s="113"/>
      <c r="BV142" s="97"/>
      <c r="BW142" s="96">
        <f>IF(ISERROR(J52),0,J52)</f>
        <v>3.6096272448577708E-2</v>
      </c>
      <c r="BX142" s="123"/>
      <c r="BY142" s="113"/>
      <c r="BZ142" s="131">
        <f>AE45</f>
        <v>325093.36466749024</v>
      </c>
      <c r="CA142" s="113"/>
      <c r="CB142" s="97"/>
      <c r="CC142" s="96">
        <f>IF(ISERROR(L52),0,L52)</f>
        <v>2.7832560954929617E-2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144204.05969462081</v>
      </c>
      <c r="BQ143" s="339">
        <f>AH33</f>
        <v>2.3492592666528948E-9</v>
      </c>
      <c r="BR143" s="339"/>
      <c r="BS143" s="339"/>
      <c r="BT143" s="2"/>
      <c r="BU143" s="113"/>
      <c r="BV143" s="350">
        <f>k.w3A.w2A*M.w3A*Molweight</f>
        <v>102477.33905335952</v>
      </c>
      <c r="BW143" s="2">
        <f>AH39</f>
        <v>4.0958908165165434E-10</v>
      </c>
      <c r="BX143" s="113"/>
      <c r="BY143" s="113"/>
      <c r="BZ143" s="2"/>
      <c r="CA143" s="113"/>
      <c r="CB143" s="350">
        <f>k.w3T.w2T*M.w3T*Molweight</f>
        <v>325093.35388609581</v>
      </c>
      <c r="CC143" s="2">
        <f>AH45</f>
        <v>1.3311121791907654E-8</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144203.87806593798</v>
      </c>
      <c r="BQ145" s="351"/>
      <c r="BR145" s="339"/>
      <c r="BS145" s="339"/>
      <c r="BT145" s="2"/>
      <c r="BU145" s="113"/>
      <c r="BV145" s="350">
        <f>k.w2A.w3A*M.w2A*Molweight</f>
        <v>124864.72837743918</v>
      </c>
      <c r="BW145" s="78"/>
      <c r="BX145" s="2"/>
      <c r="BY145" s="113"/>
      <c r="BZ145" s="2"/>
      <c r="CA145" s="113"/>
      <c r="CB145" s="350">
        <f>k.w2T.w3T*M.w2T*Molweight</f>
        <v>302705.62382783002</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7.1329128212552475E-13</v>
      </c>
      <c r="BT147" s="2"/>
      <c r="BU147" s="2"/>
      <c r="BV147" s="113"/>
      <c r="BW147" s="98" t="s">
        <v>257</v>
      </c>
      <c r="BX147" s="76" t="s">
        <v>258</v>
      </c>
      <c r="BY147" s="77">
        <f>IF(ISERROR(J92),0,J92)</f>
        <v>3.3424476353765231E-13</v>
      </c>
      <c r="BZ147" s="2"/>
      <c r="CA147" s="2"/>
      <c r="CB147" s="113"/>
      <c r="CC147" s="98" t="s">
        <v>257</v>
      </c>
      <c r="CD147" s="76" t="s">
        <v>258</v>
      </c>
      <c r="CE147" s="77">
        <f>IF(ISERROR(L92),0,L92)</f>
        <v>6.8869718079223246E-15</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166591.35118020631</v>
      </c>
      <c r="BP148" s="339"/>
      <c r="BQ148" s="96">
        <f>IF(ISERROR(H60),0,H60)</f>
        <v>0.89487213000192278</v>
      </c>
      <c r="BR148" s="339"/>
      <c r="BS148" s="339"/>
      <c r="BT148" s="308" t="s">
        <v>259</v>
      </c>
      <c r="BU148" s="301">
        <f>AD40</f>
        <v>124864.72837743918</v>
      </c>
      <c r="BV148" s="113"/>
      <c r="BW148" s="96">
        <f>IF(ISERROR(J60),0,J60)</f>
        <v>0.88873375171903757</v>
      </c>
      <c r="BX148" s="113"/>
      <c r="BY148" s="113"/>
      <c r="BZ148" s="308" t="s">
        <v>259</v>
      </c>
      <c r="CA148" s="301">
        <f>AD46</f>
        <v>325093.03760887519</v>
      </c>
      <c r="CB148" s="113"/>
      <c r="CC148" s="96">
        <f>IF(ISERROR(L60),0,L60)</f>
        <v>0.89673067255832706</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166591.47347566596</v>
      </c>
      <c r="BO149" s="344" t="s">
        <v>259</v>
      </c>
      <c r="BP149" s="339">
        <f>AH34</f>
        <v>7.0477866768253518E-8</v>
      </c>
      <c r="BQ149" s="339"/>
      <c r="BR149" s="353"/>
      <c r="BS149" s="339"/>
      <c r="BT149" s="131">
        <f>AE40</f>
        <v>124864.81216762784</v>
      </c>
      <c r="BU149" s="128" t="s">
        <v>259</v>
      </c>
      <c r="BV149" s="55">
        <f>AH40</f>
        <v>1.008457706313033E-8</v>
      </c>
      <c r="BW149" s="2"/>
      <c r="BX149" s="114"/>
      <c r="BY149" s="113"/>
      <c r="BZ149" s="131">
        <f>AE46</f>
        <v>325093.35388609581</v>
      </c>
      <c r="CA149" s="128" t="s">
        <v>259</v>
      </c>
      <c r="CB149" s="55">
        <f>AH46</f>
        <v>4.2886787228427862E-7</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281.57681254683763</v>
      </c>
      <c r="BR150" s="339">
        <f>AH36</f>
        <v>5.6217465669664295E-20</v>
      </c>
      <c r="BS150" s="339"/>
      <c r="BT150" s="2"/>
      <c r="BU150" s="113"/>
      <c r="BV150" s="113"/>
      <c r="BW150" s="345">
        <f>k.sdA.w3A*M.sdA*Molweight</f>
        <v>185.12971930156917</v>
      </c>
      <c r="BX150" s="55">
        <f>AK42</f>
        <v>6.4040047056800808E-16</v>
      </c>
      <c r="BY150" s="113"/>
      <c r="BZ150" s="2"/>
      <c r="CA150" s="113"/>
      <c r="CB150" s="113"/>
      <c r="CC150" s="345">
        <f>k.sdT.w3T*M.sdT*Molweight</f>
        <v>695.88425350414138</v>
      </c>
      <c r="CD150" s="55">
        <f>AH48</f>
        <v>3.296115131195251E-21</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281.59510075167134</v>
      </c>
      <c r="BR153" s="340">
        <f>AC36</f>
        <v>0</v>
      </c>
      <c r="BS153" s="339"/>
      <c r="BT153" s="2"/>
      <c r="BU153" s="113"/>
      <c r="BV153" s="113"/>
      <c r="BW153" s="136">
        <f>IF(AN41&lt;0,"",AN41)</f>
        <v>185.13819436718597</v>
      </c>
      <c r="BX153" s="307">
        <f>AC42</f>
        <v>0</v>
      </c>
      <c r="BY153" s="113"/>
      <c r="BZ153" s="2"/>
      <c r="CA153" s="113"/>
      <c r="CB153" s="113"/>
      <c r="CC153" s="136">
        <f>IF(AN47&lt;0,"",AN47)</f>
        <v>695.91606653582016</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3.2004024276268463E-4</v>
      </c>
      <c r="BQ155" s="339"/>
      <c r="BR155" s="339"/>
      <c r="BS155" s="339"/>
      <c r="BT155" s="2"/>
      <c r="BU155" s="2"/>
      <c r="BV155" s="96">
        <f>IF(ISERROR(J68),0,J68)</f>
        <v>3.1784491953184776E-4</v>
      </c>
      <c r="BW155" s="2"/>
      <c r="BX155" s="113"/>
      <c r="BY155" s="113"/>
      <c r="BZ155" s="2"/>
      <c r="CA155" s="2"/>
      <c r="CB155" s="96">
        <f>IF(ISERROR(L68),0,L68)</f>
        <v>3.2070494215989827E-4</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2.5223708478265196E-11</v>
      </c>
      <c r="BP156" s="339"/>
      <c r="BQ156" s="339"/>
      <c r="BR156" s="339"/>
      <c r="BS156" s="339"/>
      <c r="BT156" s="2"/>
      <c r="BU156" s="55">
        <f>AH41</f>
        <v>3.609224267313229E-12</v>
      </c>
      <c r="BV156" s="113"/>
      <c r="BW156" s="113"/>
      <c r="BX156" s="113"/>
      <c r="BY156" s="113"/>
      <c r="BZ156" s="2"/>
      <c r="CA156" s="55">
        <f>AH47</f>
        <v>1.534898707275587E-10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1.8532635818329816E-2</v>
      </c>
      <c r="BQ159" s="339"/>
      <c r="BR159" s="339">
        <f>AF36</f>
        <v>4.3556347081309563E-10</v>
      </c>
      <c r="BS159" s="339"/>
      <c r="BT159" s="113"/>
      <c r="BU159" s="113"/>
      <c r="BV159" s="55">
        <f>AF41</f>
        <v>8.632189934856099E-3</v>
      </c>
      <c r="BW159" s="113"/>
      <c r="BX159" s="55">
        <f>AF42</f>
        <v>4.8256003623172822E-11</v>
      </c>
      <c r="BY159" s="113"/>
      <c r="BZ159" s="113"/>
      <c r="CA159" s="113"/>
      <c r="CB159" s="55">
        <f>AF47</f>
        <v>3.2447545815905511E-2</v>
      </c>
      <c r="CC159" s="113"/>
      <c r="CD159" s="55">
        <f>AF48</f>
        <v>1.9261445550683024E-11</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nTiO2_10nm</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4.5853718970552805E-9</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578871972276.41333</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45407</v>
      </c>
      <c r="BU164" s="80"/>
      <c r="BV164" s="122"/>
      <c r="BW164" s="2"/>
      <c r="BX164" s="2"/>
      <c r="BY164" s="90" t="s">
        <v>263</v>
      </c>
      <c r="BZ164" s="2"/>
      <c r="CA164" s="89">
        <f>G60</f>
        <v>17366181041439.346</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6210805555.3713999</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13.842363758323366</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1.9970367881478103E-10</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463730793363.50903</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11417611288276.842</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4083371126.7843723</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4.2940608228654202</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1.0243946774104967E-7</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1332070579959.783</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42917665715232.336</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15348987072.755867</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0.32961151311952513</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1.4822087594939641E-7</v>
      </c>
      <c r="C4">
        <f>K4+K18+K32</f>
        <v>1.7576628438054566E-8</v>
      </c>
      <c r="D4">
        <f>L4+L18+L32</f>
        <v>1.3067087150160321E-9</v>
      </c>
      <c r="E4">
        <f>M4+M18+M32</f>
        <v>5.7302509389877114E-10</v>
      </c>
      <c r="F4">
        <f>N4+N18+N32</f>
        <v>3.3707421862220789E-10</v>
      </c>
      <c r="G4" s="160" t="s">
        <v>277</v>
      </c>
      <c r="I4" s="452" t="s">
        <v>136</v>
      </c>
      <c r="J4">
        <f>'all species output'!$M15</f>
        <v>2.1140609476696767E-8</v>
      </c>
      <c r="K4">
        <f>'all species output'!$N15</f>
        <v>1.0756093957084777E-10</v>
      </c>
      <c r="L4">
        <f>'all species output'!$O15</f>
        <v>2.3596208505743282E-13</v>
      </c>
      <c r="M4">
        <f>'all species output'!$P15</f>
        <v>2.9441576295634989E-15</v>
      </c>
      <c r="N4">
        <f>'all species output'!$Q15</f>
        <v>1.5887176322336906E-15</v>
      </c>
      <c r="O4" s="160" t="s">
        <v>137</v>
      </c>
      <c r="Q4" s="398"/>
      <c r="R4" t="s">
        <v>270</v>
      </c>
      <c r="S4" t="s">
        <v>271</v>
      </c>
      <c r="T4" t="s">
        <v>272</v>
      </c>
      <c r="U4" t="s">
        <v>273</v>
      </c>
      <c r="V4" t="s">
        <v>274</v>
      </c>
      <c r="W4" s="837"/>
    </row>
    <row r="5" spans="1:23" ht="14.5" x14ac:dyDescent="0.3">
      <c r="A5" s="104" t="s">
        <v>157</v>
      </c>
      <c r="B5">
        <f t="shared" ref="B5:C9" si="0">J5+J19+J33</f>
        <v>1.3927366287233358E-4</v>
      </c>
      <c r="C5">
        <f t="shared" si="0"/>
        <v>9.9956641994272478E-7</v>
      </c>
      <c r="G5" s="160" t="s">
        <v>234</v>
      </c>
      <c r="I5" s="104" t="s">
        <v>157</v>
      </c>
      <c r="J5">
        <f>'all species output'!$M23</f>
        <v>2.5088124612434671E-11</v>
      </c>
      <c r="K5">
        <f>'all species output'!$N23</f>
        <v>1.2762560648268604E-13</v>
      </c>
      <c r="O5" s="160" t="s">
        <v>158</v>
      </c>
      <c r="Q5" s="452" t="s">
        <v>136</v>
      </c>
      <c r="R5">
        <f>IF((RadP.a*2)&lt;bioavai.cutoff.diameter*0.000000001,'nano micro output'!B4,IF((RadA.w*2)&lt;bioavai.cutoff.diameter*0.000000001,'nano micro output'!J4+'nano micro output'!J18,IF((RadS*2)&lt;bioavai.cutoff.diameter*0.000000001,'nano micro output'!J4,0)))</f>
        <v>1.4814047190756281E-7</v>
      </c>
      <c r="S5">
        <f>IF((RadP.a*2)&lt;bioavai.cutoff.diameter*0.000000001,'nano micro output'!C4,IF((RadA.w*2)&lt;bioavai.cutoff.diameter*0.000000001,'nano micro output'!K4+'nano micro output'!K18,IF((RadS*2)&lt;bioavai.cutoff.diameter*0.000000001,'nano micro output'!K4,0)))</f>
        <v>1.7575863491295296E-8</v>
      </c>
      <c r="T5">
        <f>IF((RadP.a*2)&lt;bioavai.cutoff.diameter*0.000000001,'nano micro output'!D4,IF((RadA.w*2)&lt;bioavai.cutoff.diameter*0.000000001,'nano micro output'!L4+'nano micro output'!L18,IF((RadS*2)&lt;bioavai.cutoff.diameter*0.000000001,'nano micro output'!L4,0)))</f>
        <v>1.306706432675252E-9</v>
      </c>
      <c r="U5">
        <f>IF((RadP.a*2)&lt;bioavai.cutoff.diameter*0.000000001,'nano micro output'!E4,IF((RadA.w*2)&lt;bioavai.cutoff.diameter*0.000000001,'nano micro output'!M4+'nano micro output'!M18,IF((RadS*2)&lt;bioavai.cutoff.diameter*0.000000001,'nano micro output'!M4,0)))</f>
        <v>5.7302500680771577E-10</v>
      </c>
      <c r="V5">
        <f>IF((RadP.a*2)&lt;bioavai.cutoff.diameter*0.000000001,'nano micro output'!F4,IF((RadA.w*2)&lt;bioavai.cutoff.diameter*0.000000001,'nano micro output'!N4+'nano micro output'!N18,IF((RadS*2)&lt;bioavai.cutoff.diameter*0.000000001,'nano micro output'!N4,0)))</f>
        <v>3.3707420821399809E-10</v>
      </c>
      <c r="W5" s="160" t="s">
        <v>137</v>
      </c>
    </row>
    <row r="6" spans="1:23" ht="14.5" x14ac:dyDescent="0.3">
      <c r="A6" s="104" t="s">
        <v>174</v>
      </c>
      <c r="B6">
        <f t="shared" si="0"/>
        <v>0.15644501323671589</v>
      </c>
      <c r="C6">
        <f t="shared" si="0"/>
        <v>4.7471856499701006E-4</v>
      </c>
      <c r="G6" s="160" t="s">
        <v>237</v>
      </c>
      <c r="I6" s="104" t="s">
        <v>174</v>
      </c>
      <c r="J6">
        <f>'all species output'!$M31</f>
        <v>4.3022277583092929E-16</v>
      </c>
      <c r="K6">
        <f>'all species output'!$N31</f>
        <v>2.1885831624421886E-18</v>
      </c>
      <c r="O6" s="160" t="s">
        <v>175</v>
      </c>
      <c r="Q6" s="104" t="s">
        <v>157</v>
      </c>
      <c r="R6">
        <f>IF((RadP.w*2)&lt;bioavai.cutoff.diameter*0.000000001,'nano micro output'!B5,IF((RadA.w*2)&lt;bioavai.cutoff.diameter*0.000000001,'nano micro output'!J5+'nano micro output'!J19,IF((RadS*2)&lt;bioavai.cutoff.diameter*0.000000001,'nano micro output'!J5,0)))</f>
        <v>1.3890466852109007E-4</v>
      </c>
      <c r="S6">
        <f>IF((RadP.w*2)&lt;bioavai.cutoff.diameter*0.000000001,'nano micro output'!C5,IF((RadA.w*2)&lt;bioavai.cutoff.diameter*0.000000001,'nano micro output'!K5+'nano micro output'!K19,IF((RadS*2)&lt;bioavai.cutoff.diameter*0.000000001,'nano micro output'!K5,0)))</f>
        <v>9.9942400808291242E-7</v>
      </c>
      <c r="W6" s="160" t="s">
        <v>158</v>
      </c>
    </row>
    <row r="7" spans="1:23" ht="14.5" x14ac:dyDescent="0.3">
      <c r="A7" s="104" t="s">
        <v>204</v>
      </c>
      <c r="B7">
        <f t="shared" si="0"/>
        <v>4.0326060597574626E-4</v>
      </c>
      <c r="C7">
        <f t="shared" si="0"/>
        <v>1.394723646312816E-6</v>
      </c>
      <c r="G7" s="160" t="s">
        <v>234</v>
      </c>
      <c r="I7" s="104" t="s">
        <v>204</v>
      </c>
      <c r="J7">
        <f>'all species output'!$M39</f>
        <v>2.5498330615684371E-7</v>
      </c>
      <c r="K7">
        <f>'all species output'!$N39</f>
        <v>3.8214877275183865E-12</v>
      </c>
      <c r="O7" s="160" t="s">
        <v>158</v>
      </c>
      <c r="Q7" s="104" t="s">
        <v>174</v>
      </c>
      <c r="R7">
        <f>IF((RadP.w*2)&lt;bioavai.cutoff.diameter*0.000000001,'nano micro output'!B6,IF((RadA.w*2)&lt;bioavai.cutoff.diameter*0.000000001,'nano micro output'!J6+'nano micro output'!J20,IF((RadS*2)&lt;bioavai.cutoff.diameter*0.000000001,'nano micro output'!J6,0)))</f>
        <v>6.0341885855904789E-2</v>
      </c>
      <c r="S7">
        <f>IF((RadP.w*2)&lt;bioavai.cutoff.diameter*0.000000001,'nano micro output'!C6,IF((RadA.w*2)&lt;bioavai.cutoff.diameter*0.000000001,'nano micro output'!K6+'nano micro output'!K20,IF((RadS*2)&lt;bioavai.cutoff.diameter*0.000000001,'nano micro output'!K6,0)))</f>
        <v>4.3735516537681294E-4</v>
      </c>
      <c r="W7" s="160" t="s">
        <v>175</v>
      </c>
    </row>
    <row r="8" spans="1:23" ht="14.5" x14ac:dyDescent="0.3">
      <c r="A8" s="104" t="s">
        <v>209</v>
      </c>
      <c r="B8">
        <f t="shared" si="0"/>
        <v>0.14748353704132691</v>
      </c>
      <c r="C8">
        <f t="shared" si="0"/>
        <v>9.5227708270226039E-5</v>
      </c>
      <c r="G8" s="160" t="s">
        <v>237</v>
      </c>
      <c r="I8" s="104" t="s">
        <v>209</v>
      </c>
      <c r="J8">
        <f>'all species output'!$M47</f>
        <v>4.3721307456068049E-12</v>
      </c>
      <c r="K8">
        <f>'all species output'!$N47</f>
        <v>6.5526030857741209E-17</v>
      </c>
      <c r="O8" s="160" t="s">
        <v>175</v>
      </c>
      <c r="Q8" s="104" t="s">
        <v>204</v>
      </c>
      <c r="R8">
        <f>IF((RadP.w*2)&lt;bioavai.cutoff.diameter*0.000000001,'nano micro output'!B7,IF((RadA.w*2)&lt;bioavai.cutoff.diameter*0.000000001,'nano micro output'!J7+'nano micro output'!J21,IF((RadS*2)&lt;bioavai.cutoff.diameter*0.000000001,'nano micro output'!J7,0)))</f>
        <v>3.9817243842862074E-4</v>
      </c>
      <c r="S8">
        <f>IF((RadP.w*2)&lt;bioavai.cutoff.diameter*0.000000001,'nano micro output'!C7,IF((RadA.w*2)&lt;bioavai.cutoff.diameter*0.000000001,'nano micro output'!K7+'nano micro output'!K21,IF((RadS*2)&lt;bioavai.cutoff.diameter*0.000000001,'nano micro output'!K7,0)))</f>
        <v>1.393333764668588E-6</v>
      </c>
      <c r="W8" s="160" t="s">
        <v>158</v>
      </c>
    </row>
    <row r="9" spans="1:23" ht="14.5" x14ac:dyDescent="0.3">
      <c r="A9" s="104" t="s">
        <v>220</v>
      </c>
      <c r="B9">
        <f t="shared" si="0"/>
        <v>5.111769042247301E-5</v>
      </c>
      <c r="C9">
        <f t="shared" si="0"/>
        <v>1.2080825973027898E-5</v>
      </c>
      <c r="D9">
        <f t="shared" ref="D9:F11" si="1">L9+L23+L37</f>
        <v>1.2061338539220256E-5</v>
      </c>
      <c r="E9">
        <f t="shared" si="1"/>
        <v>1.4668803937044959E-5</v>
      </c>
      <c r="F9">
        <f t="shared" si="1"/>
        <v>1.2080005488608846E-5</v>
      </c>
      <c r="G9" s="160" t="s">
        <v>234</v>
      </c>
      <c r="I9" s="104" t="s">
        <v>220</v>
      </c>
      <c r="J9">
        <f>'all species output'!$M55</f>
        <v>1.534295611642978E-11</v>
      </c>
      <c r="K9">
        <f>'all species output'!$N55</f>
        <v>9.5979089972687032E-16</v>
      </c>
      <c r="L9">
        <f>'all species output'!$O55</f>
        <v>4.2120879582383737E-18</v>
      </c>
      <c r="M9">
        <f>'all species output'!$P55</f>
        <v>5.2181428843400025E-20</v>
      </c>
      <c r="N9">
        <f>'all species output'!$Q55</f>
        <v>2.8822952438536529E-20</v>
      </c>
      <c r="O9" s="160" t="s">
        <v>158</v>
      </c>
      <c r="Q9" s="104" t="s">
        <v>209</v>
      </c>
      <c r="R9">
        <f>IF((RadP.w*2)&lt;bioavai.cutoff.diameter*0.000000001,'nano micro output'!B8,IF((RadA.w*2)&lt;bioavai.cutoff.diameter*0.000000001,'nano micro output'!J8+'nano micro output'!J22,IF((RadS*2)&lt;bioavai.cutoff.diameter*0.000000001,'nano micro output'!J8,0)))</f>
        <v>1.7018123567136802E-2</v>
      </c>
      <c r="S9">
        <f>IF((RadP.w*2)&lt;bioavai.cutoff.diameter*0.000000001,'nano micro output'!C8,IF((RadA.w*2)&lt;bioavai.cutoff.diameter*0.000000001,'nano micro output'!K8+'nano micro output'!K22,IF((RadS*2)&lt;bioavai.cutoff.diameter*0.000000001,'nano micro output'!K8,0)))</f>
        <v>5.958983794557875E-5</v>
      </c>
      <c r="W9" s="160" t="s">
        <v>175</v>
      </c>
    </row>
    <row r="10" spans="1:23" ht="14.5" x14ac:dyDescent="0.3">
      <c r="A10" s="104" t="s">
        <v>233</v>
      </c>
      <c r="D10">
        <f t="shared" si="1"/>
        <v>1.2082127661045396E-5</v>
      </c>
      <c r="E10">
        <f t="shared" si="1"/>
        <v>1.2060818869207823E-5</v>
      </c>
      <c r="F10">
        <f t="shared" si="1"/>
        <v>1.3000585662562889E-5</v>
      </c>
      <c r="G10" s="160" t="s">
        <v>234</v>
      </c>
      <c r="I10" s="104" t="s">
        <v>233</v>
      </c>
      <c r="L10">
        <f>'all species output'!$O63</f>
        <v>1.1593176757932483E-23</v>
      </c>
      <c r="M10">
        <f>'all species output'!$P63</f>
        <v>1.6811700260365768E-25</v>
      </c>
      <c r="N10">
        <f>'all species output'!$Q63</f>
        <v>6.9235554208914723E-26</v>
      </c>
      <c r="O10" s="160" t="s">
        <v>158</v>
      </c>
      <c r="Q10" s="104" t="s">
        <v>220</v>
      </c>
      <c r="R10">
        <f>IF((RadP.w*2)&lt;bioavai.cutoff.diameter*0.000000001,'nano micro output'!B9,IF((RadA.w*2)&lt;bioavai.cutoff.diameter*0.000000001,'nano micro output'!J9+'nano micro output'!J23,IF((RadS*2)&lt;bioavai.cutoff.diameter*0.000000001,'nano micro output'!J9,0)))</f>
        <v>5.0692769538615619E-5</v>
      </c>
      <c r="S10">
        <f>IF((RadP.w*2)&lt;bioavai.cutoff.diameter*0.000000001,'nano micro output'!C9,IF((RadA.w*2)&lt;bioavai.cutoff.diameter*0.000000001,'nano micro output'!K9+'nano micro output'!K23,IF((RadS*2)&lt;bioavai.cutoff.diameter*0.000000001,'nano micro output'!K9,0)))</f>
        <v>1.2080352661847143E-5</v>
      </c>
      <c r="T10">
        <f>IF((RadP.w*2)&lt;bioavai.cutoff.diameter*0.000000001,'nano micro output'!D9,IF((RadA.w*2)&lt;bioavai.cutoff.diameter*0.000000001,'nano micro output'!L9+'nano micro output'!L23,IF((RadS*2)&lt;bioavai.cutoff.diameter*0.000000001,'nano micro output'!L9,0)))</f>
        <v>1.206091490030684E-5</v>
      </c>
      <c r="U10">
        <f>IF((RadP.w*2)&lt;bioavai.cutoff.diameter*0.000000001,'nano micro output'!E9,IF((RadA.w*2)&lt;bioavai.cutoff.diameter*0.000000001,'nano micro output'!M9+'nano micro output'!M23,IF((RadS*2)&lt;bioavai.cutoff.diameter*0.000000001,'nano micro output'!M9,0)))</f>
        <v>1.4668557462750384E-5</v>
      </c>
      <c r="V10">
        <f>IF((RadP.w*2)&lt;bioavai.cutoff.diameter*0.000000001,'nano micro output'!F9,IF((RadA.w*2)&lt;bioavai.cutoff.diameter*0.000000001,'nano micro output'!N9+'nano micro output'!N23,IF((RadS*2)&lt;bioavai.cutoff.diameter*0.000000001,'nano micro output'!N9,0)))</f>
        <v>1.2079154547578146E-5</v>
      </c>
      <c r="W10" s="160" t="s">
        <v>158</v>
      </c>
    </row>
    <row r="11" spans="1:23" ht="14.5" x14ac:dyDescent="0.3">
      <c r="A11" s="104" t="s">
        <v>236</v>
      </c>
      <c r="B11">
        <f t="shared" ref="B11:C14" si="2">J11+J25+J39</f>
        <v>3.9189916987975359E-2</v>
      </c>
      <c r="C11">
        <f t="shared" si="2"/>
        <v>1.5863526774658936E-3</v>
      </c>
      <c r="D11">
        <f t="shared" si="1"/>
        <v>1.6159253451525578E-3</v>
      </c>
      <c r="E11">
        <f t="shared" si="1"/>
        <v>1.5799328473627915E-3</v>
      </c>
      <c r="F11">
        <f t="shared" si="1"/>
        <v>1.8229240552741859E-3</v>
      </c>
      <c r="G11" s="160" t="s">
        <v>237</v>
      </c>
      <c r="I11" s="104" t="s">
        <v>236</v>
      </c>
      <c r="J11">
        <f>'all species output'!$M71</f>
        <v>5.2622163365906074E-18</v>
      </c>
      <c r="K11">
        <f>'all species output'!$N71</f>
        <v>3.2918215459440323E-22</v>
      </c>
      <c r="L11">
        <f>'all species output'!$O71</f>
        <v>3.9761440797740185E-30</v>
      </c>
      <c r="M11">
        <f>'all species output'!$P71</f>
        <v>6.1553134237084435E-32</v>
      </c>
      <c r="N11">
        <f>'all species output'!$Q71</f>
        <v>2.2898015024013251E-32</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1.2081271433738138E-5</v>
      </c>
      <c r="U11">
        <f>IF((RadP.w*2)&lt;bioavai.cutoff.diameter*0.000000001,'nano micro output'!E10,IF((RadA.w*2)&lt;bioavai.cutoff.diameter*0.000000001,'nano micro output'!M10+'nano micro output'!M24,IF((RadS*2)&lt;bioavai.cutoff.diameter*0.000000001,'nano micro output'!M10,0)))</f>
        <v>1.2060395729406698E-5</v>
      </c>
      <c r="V11">
        <f>IF((RadP.w*2)&lt;bioavai.cutoff.diameter*0.000000001,'nano micro output'!F10,IF((RadA.w*2)&lt;bioavai.cutoff.diameter*0.000000001,'nano micro output'!N10+'nano micro output'!N24,IF((RadS*2)&lt;bioavai.cutoff.diameter*0.000000001,'nano micro output'!N10,0)))</f>
        <v>1.2998570482132315E-5</v>
      </c>
      <c r="W11" s="160" t="s">
        <v>158</v>
      </c>
    </row>
    <row r="12" spans="1:23" ht="14.5" x14ac:dyDescent="0.3">
      <c r="A12" s="104" t="s">
        <v>238</v>
      </c>
      <c r="B12">
        <f t="shared" si="2"/>
        <v>1.1179317873378815E-2</v>
      </c>
      <c r="C12">
        <f t="shared" si="2"/>
        <v>6.3969942664184989E-5</v>
      </c>
      <c r="G12" s="160" t="s">
        <v>237</v>
      </c>
      <c r="I12" s="104" t="s">
        <v>238</v>
      </c>
      <c r="J12">
        <f>'all species output'!$M79</f>
        <v>8.2621691331092005E-12</v>
      </c>
      <c r="K12">
        <f>'all species output'!$N79</f>
        <v>4.2036946750758479E-14</v>
      </c>
      <c r="O12" s="160" t="s">
        <v>175</v>
      </c>
      <c r="Q12" s="104" t="s">
        <v>236</v>
      </c>
      <c r="R12">
        <f>IF((RadP.w*2)&lt;bioavai.cutoff.diameter*0.000000001,'nano micro output'!B11,IF((RadA.w*2)&lt;bioavai.cutoff.diameter*0.000000001,'nano micro output'!J11+'nano micro output'!J25,IF((RadS*2)&lt;bioavai.cutoff.diameter*0.000000001,'nano micro output'!J11,0)))</f>
        <v>6.5040282850599507E-3</v>
      </c>
      <c r="S12">
        <f>IF((RadP.w*2)&lt;bioavai.cutoff.diameter*0.000000001,'nano micro output'!C11,IF((RadA.w*2)&lt;bioavai.cutoff.diameter*0.000000001,'nano micro output'!K11+'nano micro output'!K25,IF((RadS*2)&lt;bioavai.cutoff.diameter*0.000000001,'nano micro output'!K11,0)))</f>
        <v>1.5499444961737908E-3</v>
      </c>
      <c r="T12">
        <f>IF((RadP.w*2)&lt;bioavai.cutoff.diameter*0.000000001,'nano micro output'!D11,IF((RadA.w*2)&lt;bioavai.cutoff.diameter*0.000000001,'nano micro output'!L11+'nano micro output'!L25,IF((RadS*2)&lt;bioavai.cutoff.diameter*0.000000001,'nano micro output'!L11,0)))</f>
        <v>1.5500623774112752E-3</v>
      </c>
      <c r="U12">
        <f>IF((RadP.w*2)&lt;bioavai.cutoff.diameter*0.000000001,'nano micro output'!E11,IF((RadA.w*2)&lt;bioavai.cutoff.diameter*0.000000001,'nano micro output'!M11+'nano micro output'!M25,IF((RadS*2)&lt;bioavai.cutoff.diameter*0.000000001,'nano micro output'!M11,0)))</f>
        <v>1.5473839636314332E-3</v>
      </c>
      <c r="V12">
        <f>IF((RadP.w*2)&lt;bioavai.cutoff.diameter*0.000000001,'nano micro output'!F11,IF((RadA.w*2)&lt;bioavai.cutoff.diameter*0.000000001,'nano micro output'!N11+'nano micro output'!N25,IF((RadS*2)&lt;bioavai.cutoff.diameter*0.000000001,'nano micro output'!N11,0)))</f>
        <v>1.6678983843541981E-3</v>
      </c>
      <c r="W12" s="160" t="s">
        <v>175</v>
      </c>
    </row>
    <row r="13" spans="1:23" ht="14.5" x14ac:dyDescent="0.3">
      <c r="A13" s="104" t="s">
        <v>240</v>
      </c>
      <c r="B13">
        <f t="shared" si="2"/>
        <v>0.14250212531815162</v>
      </c>
      <c r="C13">
        <f t="shared" si="2"/>
        <v>3.4973490764083918E-5</v>
      </c>
      <c r="G13" s="160" t="s">
        <v>237</v>
      </c>
      <c r="I13" s="104" t="s">
        <v>240</v>
      </c>
      <c r="J13">
        <f>'all species output'!$M87</f>
        <v>5.5116561756358499E-11</v>
      </c>
      <c r="K13">
        <f>'all species output'!$N87</f>
        <v>1.0509243032099787E-14</v>
      </c>
      <c r="O13" s="160" t="s">
        <v>175</v>
      </c>
      <c r="Q13" s="104" t="s">
        <v>238</v>
      </c>
      <c r="R13">
        <f>IF((RadP.w*2)&lt;bioavai.cutoff.diameter*0.000000001,'nano micro output'!B12,IF((RadA.w*2)&lt;bioavai.cutoff.diameter*0.000000001,'nano micro output'!J12+'nano micro output'!J26,IF((RadS*2)&lt;bioavai.cutoff.diameter*0.000000001,'nano micro output'!J12,0)))</f>
        <v>1.0504035436499858E-5</v>
      </c>
      <c r="S13">
        <f>IF((RadP.w*2)&lt;bioavai.cutoff.diameter*0.000000001,'nano micro output'!C12,IF((RadA.w*2)&lt;bioavai.cutoff.diameter*0.000000001,'nano micro output'!K12+'nano micro output'!K26,IF((RadS*2)&lt;bioavai.cutoff.diameter*0.000000001,'nano micro output'!K12,0)))</f>
        <v>6.7833870799917155E-7</v>
      </c>
      <c r="W13" s="160" t="s">
        <v>175</v>
      </c>
    </row>
    <row r="14" spans="1:23" ht="14.5" x14ac:dyDescent="0.3">
      <c r="A14" s="838" t="s">
        <v>241</v>
      </c>
      <c r="B14" s="487">
        <f t="shared" si="2"/>
        <v>1.1179317873378822E-2</v>
      </c>
      <c r="C14" s="487">
        <f t="shared" si="2"/>
        <v>6.3969942664185016E-5</v>
      </c>
      <c r="D14" s="487">
        <f>L14+L28+L42</f>
        <v>1.9841681921677095E-7</v>
      </c>
      <c r="E14" s="487">
        <f>M14+M28+M42</f>
        <v>5.0615218930672663E-8</v>
      </c>
      <c r="F14" s="487">
        <f>N14+N28+N42</f>
        <v>8.8754600848124853E-9</v>
      </c>
      <c r="G14" s="839" t="s">
        <v>237</v>
      </c>
      <c r="I14" s="838" t="s">
        <v>241</v>
      </c>
      <c r="J14" s="487">
        <f>'all species output'!$M95</f>
        <v>8.2621691331092022E-12</v>
      </c>
      <c r="K14" s="487">
        <f>'all species output'!$N95</f>
        <v>4.2036946750758479E-14</v>
      </c>
      <c r="L14" s="487">
        <f>'all species output'!$O95</f>
        <v>9.221865896981834E-17</v>
      </c>
      <c r="M14" s="487">
        <f>'all species output'!$P95</f>
        <v>1.0931917327164053E-18</v>
      </c>
      <c r="N14" s="487">
        <f>'all species output'!$Q95</f>
        <v>6.4747628317542063E-19</v>
      </c>
      <c r="O14" s="839" t="s">
        <v>175</v>
      </c>
      <c r="Q14" s="104" t="s">
        <v>240</v>
      </c>
      <c r="R14">
        <f>IF((RadP.w*2)&lt;bioavai.cutoff.diameter*0.000000001,'nano micro output'!B13,IF((RadA.w*2)&lt;bioavai.cutoff.diameter*0.000000001,'nano micro output'!J13+'nano micro output'!J27,IF((RadS*2)&lt;bioavai.cutoff.diameter*0.000000001,'nano micro output'!J13,0)))</f>
        <v>8.7598446267708142E-5</v>
      </c>
      <c r="S14">
        <f>IF((RadP.w*2)&lt;bioavai.cutoff.diameter*0.000000001,'nano micro output'!C13,IF((RadA.w*2)&lt;bioavai.cutoff.diameter*0.000000001,'nano micro output'!K13+'nano micro output'!K27,IF((RadS*2)&lt;bioavai.cutoff.diameter*0.000000001,'nano micro output'!K13,0)))</f>
        <v>3.7269133937617175E-7</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1.0504035436499858E-5</v>
      </c>
      <c r="S15" s="487">
        <f>IF((RadP.w*2)&lt;bioavai.cutoff.diameter*0.000000001,'nano micro output'!C14,IF((RadA.w*2)&lt;bioavai.cutoff.diameter*0.000000001,'nano micro output'!K14+'nano micro output'!K28,IF((RadS*2)&lt;bioavai.cutoff.diameter*0.000000001,'nano micro output'!K14,0)))</f>
        <v>6.7833870799917155E-7</v>
      </c>
      <c r="T15" s="487">
        <f>IF((RadP.w*2)&lt;bioavai.cutoff.diameter*0.000000001,'nano micro output'!D14,IF((RadA.w*2)&lt;bioavai.cutoff.diameter*0.000000001,'nano micro output'!L14+'nano micro output'!L28,IF((RadS*2)&lt;bioavai.cutoff.diameter*0.000000001,'nano micro output'!L14,0)))</f>
        <v>4.8591707475508235E-8</v>
      </c>
      <c r="U15" s="487">
        <f>IF((RadP.w*2)&lt;bioavai.cutoff.diameter*0.000000001,'nano micro output'!E14,IF((RadA.w*2)&lt;bioavai.cutoff.diameter*0.000000001,'nano micro output'!M14+'nano micro output'!M28,IF((RadS*2)&lt;bioavai.cutoff.diameter*0.000000001,'nano micro output'!M14,0)))</f>
        <v>4.8818542330749883E-8</v>
      </c>
      <c r="V15" s="487">
        <f>IF((RadP.w*2)&lt;bioavai.cutoff.diameter*0.000000001,'nano micro output'!F14,IF((RadA.w*2)&lt;bioavai.cutoff.diameter*0.000000001,'nano micro output'!N14+'nano micro output'!N28,IF((RadS*2)&lt;bioavai.cutoff.diameter*0.000000001,'nano micro output'!N14,0)))</f>
        <v>7.7428344150520571E-9</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1.2699986243086603E-7</v>
      </c>
      <c r="K18">
        <f>'all species output'!$N16</f>
        <v>1.7468302551724448E-8</v>
      </c>
      <c r="L18">
        <f>'all species output'!$O16</f>
        <v>1.3064704705901946E-9</v>
      </c>
      <c r="M18">
        <f>'all species output'!$P16</f>
        <v>5.7302206265008622E-10</v>
      </c>
      <c r="N18">
        <f>'all species output'!$Q16</f>
        <v>3.3707261949636586E-10</v>
      </c>
      <c r="O18" s="160" t="s">
        <v>137</v>
      </c>
    </row>
    <row r="19" spans="9:15" ht="14.5" x14ac:dyDescent="0.3">
      <c r="I19" s="104" t="s">
        <v>157</v>
      </c>
      <c r="J19">
        <f>'all species output'!$M24</f>
        <v>1.3890464343296546E-4</v>
      </c>
      <c r="K19">
        <f>'all species output'!$N24</f>
        <v>9.9942388045730603E-7</v>
      </c>
      <c r="O19" s="160" t="s">
        <v>158</v>
      </c>
    </row>
    <row r="20" spans="9:15" ht="14.5" x14ac:dyDescent="0.3">
      <c r="I20" s="104" t="s">
        <v>174</v>
      </c>
      <c r="J20">
        <f>'all species output'!$M32</f>
        <v>6.0341885855904359E-2</v>
      </c>
      <c r="K20">
        <f>'all species output'!$N32</f>
        <v>4.3735516537681077E-4</v>
      </c>
      <c r="O20" s="160" t="s">
        <v>175</v>
      </c>
    </row>
    <row r="21" spans="9:15" ht="14.5" x14ac:dyDescent="0.3">
      <c r="I21" s="104" t="s">
        <v>204</v>
      </c>
      <c r="J21">
        <f>'all species output'!$M40</f>
        <v>3.9791745512246388E-4</v>
      </c>
      <c r="K21">
        <f>'all species output'!$N40</f>
        <v>1.3933299431808605E-6</v>
      </c>
      <c r="O21" s="160" t="s">
        <v>158</v>
      </c>
    </row>
    <row r="22" spans="9:15" ht="14.5" x14ac:dyDescent="0.3">
      <c r="I22" s="104" t="s">
        <v>209</v>
      </c>
      <c r="J22">
        <f>'all species output'!$M48</f>
        <v>1.7018123562764671E-2</v>
      </c>
      <c r="K22">
        <f>'all species output'!$N48</f>
        <v>5.9589837945513224E-5</v>
      </c>
      <c r="O22" s="160" t="s">
        <v>175</v>
      </c>
    </row>
    <row r="23" spans="9:15" ht="14.5" x14ac:dyDescent="0.3">
      <c r="I23" s="104" t="s">
        <v>220</v>
      </c>
      <c r="J23">
        <f>'all species output'!$M56</f>
        <v>5.0692754195659499E-5</v>
      </c>
      <c r="K23">
        <f>'all species output'!$N56</f>
        <v>1.2080352660887351E-5</v>
      </c>
      <c r="L23">
        <f>'all species output'!$O56</f>
        <v>1.2060914900302629E-5</v>
      </c>
      <c r="M23">
        <f>'all species output'!$P56</f>
        <v>1.4668557462750331E-5</v>
      </c>
      <c r="N23">
        <f>'all species output'!$Q56</f>
        <v>1.2079154547578117E-5</v>
      </c>
      <c r="O23" s="160" t="s">
        <v>158</v>
      </c>
    </row>
    <row r="24" spans="9:15" ht="14.5" x14ac:dyDescent="0.3">
      <c r="I24" s="104" t="s">
        <v>233</v>
      </c>
      <c r="L24">
        <f>'all species output'!$O64</f>
        <v>1.2081271433738138E-5</v>
      </c>
      <c r="M24">
        <f>'all species output'!$P64</f>
        <v>1.2060395729406698E-5</v>
      </c>
      <c r="N24">
        <f>'all species output'!$Q64</f>
        <v>1.2998570482132315E-5</v>
      </c>
      <c r="O24" s="160" t="s">
        <v>158</v>
      </c>
    </row>
    <row r="25" spans="9:15" ht="14.5" x14ac:dyDescent="0.3">
      <c r="I25" s="104" t="s">
        <v>236</v>
      </c>
      <c r="J25">
        <f>'all species output'!$M72</f>
        <v>6.5040282850599455E-3</v>
      </c>
      <c r="K25">
        <f>'all species output'!$N72</f>
        <v>1.5499444961737908E-3</v>
      </c>
      <c r="L25">
        <f>'all species output'!$O72</f>
        <v>1.5500623774112752E-3</v>
      </c>
      <c r="M25">
        <f>'all species output'!$P72</f>
        <v>1.5473839636314332E-3</v>
      </c>
      <c r="N25">
        <f>'all species output'!$Q72</f>
        <v>1.6678983843541981E-3</v>
      </c>
      <c r="O25" s="160" t="s">
        <v>175</v>
      </c>
    </row>
    <row r="26" spans="9:15" ht="14.5" x14ac:dyDescent="0.3">
      <c r="I26" s="104" t="s">
        <v>238</v>
      </c>
      <c r="J26">
        <f>'all species output'!$M80</f>
        <v>1.0504027174330724E-5</v>
      </c>
      <c r="K26">
        <f>'all species output'!$N80</f>
        <v>6.7833866596222477E-7</v>
      </c>
      <c r="O26" s="160" t="s">
        <v>175</v>
      </c>
    </row>
    <row r="27" spans="9:15" ht="14.5" x14ac:dyDescent="0.3">
      <c r="I27" s="104" t="s">
        <v>240</v>
      </c>
      <c r="J27">
        <f>'all species output'!$M88</f>
        <v>8.7598391151146382E-5</v>
      </c>
      <c r="K27">
        <f>'all species output'!$N88</f>
        <v>3.7269132886692873E-7</v>
      </c>
      <c r="O27" s="160" t="s">
        <v>175</v>
      </c>
    </row>
    <row r="28" spans="9:15" ht="14.5" x14ac:dyDescent="0.3">
      <c r="I28" s="838" t="s">
        <v>241</v>
      </c>
      <c r="J28" s="487">
        <f>'all species output'!$M96</f>
        <v>1.0504027174330724E-5</v>
      </c>
      <c r="K28" s="487">
        <f>'all species output'!$N96</f>
        <v>6.7833866596222477E-7</v>
      </c>
      <c r="L28" s="487">
        <f>'all species output'!$O96</f>
        <v>4.8591707383289574E-8</v>
      </c>
      <c r="M28" s="487">
        <f>'all species output'!$P96</f>
        <v>4.8818542329656695E-8</v>
      </c>
      <c r="N28" s="487">
        <f>'all species output'!$Q96</f>
        <v>7.7428344144045815E-9</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8.0404041833596976E-11</v>
      </c>
      <c r="K32">
        <f>'all species output'!$N17</f>
        <v>7.6494675926860019E-13</v>
      </c>
      <c r="L32">
        <f>'all species output'!$O17</f>
        <v>2.2823407801655916E-15</v>
      </c>
      <c r="M32">
        <f>'all species output'!$P17</f>
        <v>8.7091055338293344E-17</v>
      </c>
      <c r="N32">
        <f>'all species output'!$Q17</f>
        <v>1.0408209800844034E-17</v>
      </c>
      <c r="O32" s="160" t="s">
        <v>137</v>
      </c>
    </row>
    <row r="33" spans="9:15" ht="14.5" x14ac:dyDescent="0.3">
      <c r="I33" s="104" t="s">
        <v>157</v>
      </c>
      <c r="J33">
        <f>'all species output'!$M25</f>
        <v>3.6899435124350257E-7</v>
      </c>
      <c r="K33">
        <f>'all species output'!$N25</f>
        <v>1.4241185981233582E-10</v>
      </c>
      <c r="O33" s="160" t="s">
        <v>158</v>
      </c>
    </row>
    <row r="34" spans="9:15" ht="14.5" x14ac:dyDescent="0.3">
      <c r="I34" s="104" t="s">
        <v>174</v>
      </c>
      <c r="J34">
        <f>'all species output'!$M33</f>
        <v>9.6103127380811101E-2</v>
      </c>
      <c r="K34">
        <f>'all species output'!$N33</f>
        <v>3.7363399620197151E-5</v>
      </c>
      <c r="O34" s="160" t="s">
        <v>175</v>
      </c>
    </row>
    <row r="35" spans="9:15" ht="14.5" x14ac:dyDescent="0.3">
      <c r="I35" s="104" t="s">
        <v>204</v>
      </c>
      <c r="J35">
        <f>'all species output'!$M41</f>
        <v>5.0881675471255404E-6</v>
      </c>
      <c r="K35">
        <f>'all species output'!$N41</f>
        <v>1.3898816442280326E-9</v>
      </c>
      <c r="O35" s="160" t="s">
        <v>158</v>
      </c>
    </row>
    <row r="36" spans="9:15" ht="14.5" x14ac:dyDescent="0.3">
      <c r="I36" s="104" t="s">
        <v>209</v>
      </c>
      <c r="J36">
        <f>'all species output'!$M49</f>
        <v>0.13046541347419011</v>
      </c>
      <c r="K36">
        <f>'all species output'!$N49</f>
        <v>3.5637870324647289E-5</v>
      </c>
      <c r="O36" s="160" t="s">
        <v>175</v>
      </c>
    </row>
    <row r="37" spans="9:15" ht="14.5" x14ac:dyDescent="0.3">
      <c r="I37" s="104" t="s">
        <v>220</v>
      </c>
      <c r="J37">
        <f>'all species output'!$M57</f>
        <v>4.2492088385738977E-7</v>
      </c>
      <c r="K37">
        <f>'all species output'!$N57</f>
        <v>4.7331118075518134E-10</v>
      </c>
      <c r="L37">
        <f>'all species output'!$O57</f>
        <v>4.2363891341560675E-10</v>
      </c>
      <c r="M37">
        <f>'all species output'!$P57</f>
        <v>2.4647429457621803E-10</v>
      </c>
      <c r="N37">
        <f>'all species output'!$Q57</f>
        <v>8.5094103070014294E-10</v>
      </c>
      <c r="O37" s="160" t="s">
        <v>158</v>
      </c>
    </row>
    <row r="38" spans="9:15" ht="14.5" x14ac:dyDescent="0.3">
      <c r="I38" s="104" t="s">
        <v>233</v>
      </c>
      <c r="L38">
        <f>'all species output'!$O65</f>
        <v>8.5622730725733664E-10</v>
      </c>
      <c r="M38">
        <f>'all species output'!$P65</f>
        <v>4.2313980112476565E-10</v>
      </c>
      <c r="N38">
        <f>'all species output'!$Q65</f>
        <v>2.0151804305746615E-9</v>
      </c>
      <c r="O38" s="160" t="s">
        <v>158</v>
      </c>
    </row>
    <row r="39" spans="9:15" ht="14.5" x14ac:dyDescent="0.3">
      <c r="I39" s="104" t="s">
        <v>236</v>
      </c>
      <c r="J39">
        <f>'all species output'!$M73</f>
        <v>3.268588870291541E-2</v>
      </c>
      <c r="K39">
        <f>'all species output'!$N73</f>
        <v>3.6408181292102879E-5</v>
      </c>
      <c r="L39">
        <f>'all species output'!$O73</f>
        <v>6.5862967741282631E-5</v>
      </c>
      <c r="M39">
        <f>'all species output'!$P73</f>
        <v>3.2548883731358465E-5</v>
      </c>
      <c r="N39">
        <f>'all species output'!$Q73</f>
        <v>1.5502567091998771E-4</v>
      </c>
      <c r="O39" s="160" t="s">
        <v>175</v>
      </c>
    </row>
    <row r="40" spans="9:15" ht="14.5" x14ac:dyDescent="0.3">
      <c r="I40" s="104" t="s">
        <v>238</v>
      </c>
      <c r="J40">
        <f>'all species output'!$M81</f>
        <v>1.1168813837942314E-2</v>
      </c>
      <c r="K40">
        <f>'all species output'!$N81</f>
        <v>6.3291603956185818E-5</v>
      </c>
      <c r="O40" s="160" t="s">
        <v>175</v>
      </c>
    </row>
    <row r="41" spans="9:15" ht="14.5" x14ac:dyDescent="0.3">
      <c r="I41" s="104" t="s">
        <v>240</v>
      </c>
      <c r="J41">
        <f>'all species output'!$M89</f>
        <v>0.14241452687188391</v>
      </c>
      <c r="K41">
        <f>'all species output'!$N89</f>
        <v>3.4600799424707747E-5</v>
      </c>
      <c r="O41" s="160" t="s">
        <v>175</v>
      </c>
    </row>
    <row r="42" spans="9:15" ht="14.5" x14ac:dyDescent="0.3">
      <c r="I42" s="838" t="s">
        <v>241</v>
      </c>
      <c r="J42" s="487">
        <f>'all species output'!$M97</f>
        <v>1.1168813837942321E-2</v>
      </c>
      <c r="K42" s="487">
        <f>'all species output'!$N97</f>
        <v>6.3291603956185845E-5</v>
      </c>
      <c r="L42" s="487">
        <f>'all species output'!$O97</f>
        <v>1.4982511174126271E-7</v>
      </c>
      <c r="M42" s="487">
        <f>'all species output'!$P97</f>
        <v>1.7966765999227779E-9</v>
      </c>
      <c r="N42" s="487">
        <f>'all species output'!$Q97</f>
        <v>1.1326256697604282E-9</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topLeftCell="A34" zoomScaleNormal="100" workbookViewId="0">
      <selection activeCell="H5" sqref="H5:I5"/>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4314</v>
      </c>
      <c r="I5" s="1005"/>
      <c r="J5" s="852" t="str">
        <f>IF(HLOOKUP(CaseName,CaseData,MATCH($G5,cases!$G$3:$G$1259,0)-1,FALSE)="","",HLOOKUP(CaseName,CaseData,MATCH($G5,cases!$G$3:$G$1259,0)-1,FALSE))</f>
        <v/>
      </c>
      <c r="K5" s="152" t="s">
        <v>290</v>
      </c>
      <c r="L5" s="153" t="str">
        <f>IF(ISBLANK(I6),IF(ISBLANK(H5),IF(J5="",K5,J5),H5),VLOOKUP(ChemRowNr,substances!A9:B4019,2,0))</f>
        <v>nTiO2_10nm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10</v>
      </c>
      <c r="L6" s="256">
        <f>IF(ISBLANK(I6),IF(J6=0,K6,J6),I6)</f>
        <v>10</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4230</v>
      </c>
      <c r="K15" s="723">
        <f>4.23*10^3</f>
        <v>4230</v>
      </c>
      <c r="L15" s="551">
        <f>IF(ISBLANK(I15), IF(ISNUMBER(J15)=FALSE, K15, J15), I15)</f>
        <v>4230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6.9000000000000004E-21</v>
      </c>
      <c r="K16" s="697">
        <f>6.9*10^-21</f>
        <v>6.9000000000000004E-21</v>
      </c>
      <c r="L16" s="298">
        <f>IF(ISBLANK(I16),IF(ISNUMBER(J16)=FALSE,K16,J16),I16)</f>
        <v>6.9000000000000004E-21</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0.02</v>
      </c>
      <c r="K21" s="697">
        <v>0.1</v>
      </c>
      <c r="L21" s="551">
        <f t="shared" ref="L21:L40" si="0">IF(ISBLANK(I21), IF(ISNUMBER(J21)=FALSE, K21, J21), I21)</f>
        <v>0.02</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0.02</v>
      </c>
      <c r="K22" s="697">
        <v>0.1</v>
      </c>
      <c r="L22" s="551">
        <f t="shared" si="0"/>
        <v>0.02</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0.02</v>
      </c>
      <c r="K23" s="697">
        <v>0.1</v>
      </c>
      <c r="L23" s="551">
        <f t="shared" si="0"/>
        <v>0.02</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0.02</v>
      </c>
      <c r="K24" s="697">
        <v>0.1</v>
      </c>
      <c r="L24" s="551">
        <f t="shared" si="0"/>
        <v>0.02</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0.33600000000000002</v>
      </c>
      <c r="K29" s="697">
        <v>0.1</v>
      </c>
      <c r="L29" s="551">
        <f t="shared" si="0"/>
        <v>0.33600000000000002</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0.33600000000000002</v>
      </c>
      <c r="K30" s="697">
        <v>0.1</v>
      </c>
      <c r="L30" s="551">
        <f t="shared" si="0"/>
        <v>0.33600000000000002</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0.33600000000000002</v>
      </c>
      <c r="K31" s="697">
        <v>0.1</v>
      </c>
      <c r="L31" s="551">
        <f t="shared" si="0"/>
        <v>0.33600000000000002</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0.33600000000000002</v>
      </c>
      <c r="K32" s="697">
        <v>0.1</v>
      </c>
      <c r="L32" s="551">
        <f t="shared" si="0"/>
        <v>0.33600000000000002</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0.33600000000000002</v>
      </c>
      <c r="K33" s="697">
        <v>0.1</v>
      </c>
      <c r="L33" s="551">
        <f t="shared" si="0"/>
        <v>0.33600000000000002</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0.33600000000000002</v>
      </c>
      <c r="K34" s="697">
        <v>0.1</v>
      </c>
      <c r="L34" s="551">
        <f t="shared" si="0"/>
        <v>0.33600000000000002</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0.02</v>
      </c>
      <c r="K35" s="697">
        <v>0.1</v>
      </c>
      <c r="L35" s="551">
        <f t="shared" si="0"/>
        <v>0.02</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0.02</v>
      </c>
      <c r="K36" s="697">
        <v>0.1</v>
      </c>
      <c r="L36" s="551">
        <f t="shared" si="0"/>
        <v>0.02</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0.02</v>
      </c>
      <c r="K37" s="697">
        <v>0.1</v>
      </c>
      <c r="L37" s="551">
        <f t="shared" si="0"/>
        <v>0.02</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0.02</v>
      </c>
      <c r="K38" s="697">
        <v>0.1</v>
      </c>
      <c r="L38" s="551">
        <f t="shared" si="0"/>
        <v>0.02</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1E-13</v>
      </c>
      <c r="K44" s="733">
        <v>0</v>
      </c>
      <c r="L44" s="551">
        <f t="shared" ref="L44:L74" si="1">IF(ISBLANK(I44), IF(ISNUMBER(J44)=FALSE, K44, J44), I44)</f>
        <v>1E-13</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1E-13</v>
      </c>
      <c r="K45" s="733">
        <v>0</v>
      </c>
      <c r="L45" s="551">
        <f t="shared" ref="L45:L53" si="2">IF(ISBLANK(I45), IF(ISNUMBER(J45)=FALSE, K45, J45), I45)</f>
        <v>1E-13</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1E-13</v>
      </c>
      <c r="K46" s="733">
        <v>0</v>
      </c>
      <c r="L46" s="551">
        <f t="shared" si="2"/>
        <v>1E-13</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1E-13</v>
      </c>
      <c r="K47" s="733">
        <v>0</v>
      </c>
      <c r="L47" s="551">
        <f t="shared" si="2"/>
        <v>1E-13</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1E-13</v>
      </c>
      <c r="K48" s="733">
        <v>0</v>
      </c>
      <c r="L48" s="551">
        <f t="shared" si="2"/>
        <v>1E-13</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1E-13</v>
      </c>
      <c r="K49" s="733">
        <v>0</v>
      </c>
      <c r="L49" s="551">
        <f t="shared" si="2"/>
        <v>1E-13</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1E-13</v>
      </c>
      <c r="K50" s="733">
        <v>0</v>
      </c>
      <c r="L50" s="551">
        <f t="shared" si="2"/>
        <v>1E-13</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1E-13</v>
      </c>
      <c r="K51" s="733">
        <v>0</v>
      </c>
      <c r="L51" s="551">
        <f t="shared" si="2"/>
        <v>1E-13</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1E-13</v>
      </c>
      <c r="K52" s="733">
        <v>0</v>
      </c>
      <c r="L52" s="551">
        <f t="shared" si="2"/>
        <v>1E-13</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1E-13</v>
      </c>
      <c r="K53" s="733">
        <v>0</v>
      </c>
      <c r="L53" s="551">
        <f t="shared" si="2"/>
        <v>1E-13</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1E-13</v>
      </c>
      <c r="K55" s="733">
        <f>L44</f>
        <v>1E-13</v>
      </c>
      <c r="L55" s="551">
        <f t="shared" si="1"/>
        <v>1E-13</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1E-13</v>
      </c>
      <c r="K56" s="733">
        <f>L44</f>
        <v>1E-13</v>
      </c>
      <c r="L56" s="551">
        <f t="shared" si="1"/>
        <v>1E-13</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1E-13</v>
      </c>
      <c r="K57" s="733">
        <f>L45</f>
        <v>1E-13</v>
      </c>
      <c r="L57" s="551">
        <f t="shared" si="1"/>
        <v>1E-13</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1E-13</v>
      </c>
      <c r="K58" s="733">
        <f>L45</f>
        <v>1E-13</v>
      </c>
      <c r="L58" s="551">
        <f t="shared" si="1"/>
        <v>1E-13</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1E-13</v>
      </c>
      <c r="K59" s="733">
        <f>L46</f>
        <v>1E-13</v>
      </c>
      <c r="L59" s="551">
        <f t="shared" si="1"/>
        <v>1E-13</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1E-13</v>
      </c>
      <c r="K60" s="733">
        <f>L46</f>
        <v>1E-13</v>
      </c>
      <c r="L60" s="551">
        <f t="shared" si="1"/>
        <v>1E-13</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1E-13</v>
      </c>
      <c r="K61" s="733">
        <f>L47</f>
        <v>1E-13</v>
      </c>
      <c r="L61" s="551">
        <f t="shared" si="1"/>
        <v>1E-13</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1E-13</v>
      </c>
      <c r="K62" s="733">
        <f>L47</f>
        <v>1E-13</v>
      </c>
      <c r="L62" s="551">
        <f t="shared" si="1"/>
        <v>1E-13</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1E-13</v>
      </c>
      <c r="K63" s="733">
        <f>L48</f>
        <v>1E-13</v>
      </c>
      <c r="L63" s="551">
        <f t="shared" si="1"/>
        <v>1E-13</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1E-13</v>
      </c>
      <c r="K64" s="733">
        <f>L48</f>
        <v>1E-13</v>
      </c>
      <c r="L64" s="551">
        <f t="shared" si="1"/>
        <v>1E-13</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1E-13</v>
      </c>
      <c r="K65" s="733">
        <f>L49</f>
        <v>1E-13</v>
      </c>
      <c r="L65" s="551">
        <f t="shared" si="1"/>
        <v>1E-13</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1E-13</v>
      </c>
      <c r="K66" s="733">
        <f>L49</f>
        <v>1E-13</v>
      </c>
      <c r="L66" s="551">
        <f t="shared" si="1"/>
        <v>1E-13</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1E-13</v>
      </c>
      <c r="K67" s="733">
        <f>L50</f>
        <v>1E-13</v>
      </c>
      <c r="L67" s="551">
        <f t="shared" si="1"/>
        <v>1E-13</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1E-13</v>
      </c>
      <c r="K68" s="733">
        <f>L50</f>
        <v>1E-13</v>
      </c>
      <c r="L68" s="551">
        <f t="shared" si="1"/>
        <v>1E-13</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1E-13</v>
      </c>
      <c r="K69" s="733">
        <f>L51</f>
        <v>1E-13</v>
      </c>
      <c r="L69" s="551">
        <f t="shared" si="1"/>
        <v>1E-13</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1E-13</v>
      </c>
      <c r="K70" s="733">
        <f>L51</f>
        <v>1E-13</v>
      </c>
      <c r="L70" s="551">
        <f t="shared" si="1"/>
        <v>1E-13</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1E-13</v>
      </c>
      <c r="K71" s="733">
        <f>L52</f>
        <v>1E-13</v>
      </c>
      <c r="L71" s="551">
        <f t="shared" si="1"/>
        <v>1E-13</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1E-13</v>
      </c>
      <c r="K72" s="733">
        <f>L52</f>
        <v>1E-13</v>
      </c>
      <c r="L72" s="551">
        <f t="shared" si="1"/>
        <v>1E-13</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1E-13</v>
      </c>
      <c r="K73" s="733">
        <f>L53</f>
        <v>1E-13</v>
      </c>
      <c r="L73" s="551">
        <f t="shared" si="1"/>
        <v>1E-13</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1E-13</v>
      </c>
      <c r="K74" s="734">
        <f>L53</f>
        <v>1E-13</v>
      </c>
      <c r="L74" s="552">
        <f t="shared" si="1"/>
        <v>1E-13</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6.6944902535023516</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6.6944902535023516</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6.6944902535023516</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47.366999999999997</v>
      </c>
      <c r="K160" s="405">
        <f>MEDIAN(substances!F8)</f>
        <v>147</v>
      </c>
      <c r="L160" s="155">
        <f>IF(ISBLANK(I160),IF(ISNUMBER(J160)=FALSE,K160/1000,J160/1000),I160/1000)</f>
        <v>4.7366999999999999E-2</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22.393706874198525</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1.5842781631137075E-5</v>
      </c>
      <c r="L324" s="423">
        <f t="shared" si="21"/>
        <v>1.5842781631137075E-5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1.6438683923358837E-9</v>
      </c>
      <c r="L325" s="423">
        <f t="shared" si="21"/>
        <v>1.6438683923358837E-9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1.7579241516966071E-10</v>
      </c>
      <c r="L372" s="551">
        <f t="shared" ref="L372:L377" si="24">IF(ISBLANK(I372),IF(ISNUMBER(J372)=FALSE,K372,J372),I372)</f>
        <v>1.7579241516966071E-10</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2.2148228207808044E-21</v>
      </c>
      <c r="L374" s="298">
        <f t="shared" si="24"/>
        <v>2.2148228207808044E-21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2.1269858572075666</v>
      </c>
      <c r="L375" s="298">
        <f t="shared" si="24"/>
        <v>2.1269858572075666</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4.9055254134227729E-8</v>
      </c>
      <c r="L393" s="298">
        <f t="shared" ref="L393:L402" si="26">IF(ISBLANK(I393),IF(ISNUMBER(J393)=FALSE,K393,J393),I393)</f>
        <v>4.9055254134227729E-8</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2000.0825895337216</v>
      </c>
      <c r="L395" s="298">
        <f t="shared" si="26"/>
        <v>2000.0825895337216</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2.9410419409277556E-5</v>
      </c>
      <c r="L396" s="298">
        <f t="shared" si="26"/>
        <v>2.9410419409277556E-5</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2500.0000080092591</v>
      </c>
      <c r="L398" s="551">
        <f t="shared" si="26"/>
        <v>2500.0000080092591</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2.1132701715031448E-4</v>
      </c>
      <c r="L399" s="298">
        <f t="shared" si="26"/>
        <v>2.1132701715031448E-4</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2000.0003823730485</v>
      </c>
      <c r="L402" s="551">
        <f t="shared" si="26"/>
        <v>2000.0003823730485</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9" transitionEvaluation="1" transitionEntry="1" codeName="Sheet2"/>
  <dimension ref="A1:S584"/>
  <sheetViews>
    <sheetView topLeftCell="A19" zoomScaleNormal="100" workbookViewId="0">
      <selection activeCell="K49" sqref="K49"/>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1.7089774649089481E-8</v>
      </c>
      <c r="L109" s="298">
        <f t="shared" ref="L109:L124" si="5">IF(ISBLANK(I109),IF(ISNUMBER(J109)=FALSE,K109,J109),I109)</f>
        <v>1.7089774649089481E-8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1.8798752113998428E-7</v>
      </c>
      <c r="L110" s="298">
        <f t="shared" si="5"/>
        <v>1.8798752113998428E-7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2.99072925564851E-8</v>
      </c>
      <c r="L111" s="298">
        <f t="shared" si="5"/>
        <v>2.99072925564851E-8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1.8456956621010431E-6</v>
      </c>
      <c r="L112" s="298">
        <f t="shared" si="5"/>
        <v>1.8456956621010431E-6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4.1015459157800947E-6</v>
      </c>
      <c r="L113" s="298">
        <f t="shared" si="5"/>
        <v>4.1015459157800947E-6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6.8359098596334912E-7</v>
      </c>
      <c r="L114" s="298">
        <f t="shared" si="5"/>
        <v>6.8359098596334912E-7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7.3594070844008963E-28</v>
      </c>
      <c r="L115" s="298">
        <f t="shared" si="5"/>
        <v>7.3594070844008963E-28</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2.4495847556581632E-26</v>
      </c>
      <c r="L116" s="298">
        <f t="shared" si="5"/>
        <v>2.4495847556581632E-26</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7.3560977339452445E-27</v>
      </c>
      <c r="L117" s="298">
        <f t="shared" si="5"/>
        <v>7.3560977339452445E-27</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9.9730623667322376E-27</v>
      </c>
      <c r="L118" s="298">
        <f t="shared" si="5"/>
        <v>9.9730623667322376E-27</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4.5382842551637416E-27</v>
      </c>
      <c r="L119" s="298">
        <f t="shared" si="5"/>
        <v>4.5382842551637416E-27</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9.9730623667322376E-27</v>
      </c>
      <c r="L120" s="298">
        <f t="shared" si="5"/>
        <v>9.9730623667322376E-27</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6.8658171521895227E-6</v>
      </c>
      <c r="L121" s="298">
        <f t="shared" si="5"/>
        <v>6.8658171521895227E-6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1.6285959891839182E-5</v>
      </c>
      <c r="L122" s="298">
        <f t="shared" si="5"/>
        <v>1.6285959891839182E-5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1.0420142739649236E-5</v>
      </c>
      <c r="L123" s="298">
        <f t="shared" si="5"/>
        <v>1.0420142739649236E-5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2.7548278268381724E-15</v>
      </c>
      <c r="L132" s="298">
        <f t="shared" si="6"/>
        <v>2.7548278268381724E-15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4.4348686949202964E-16</v>
      </c>
      <c r="L133" s="298">
        <f t="shared" si="6"/>
        <v>4.4348686949202964E-16</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7.3594070844008964E-26</v>
      </c>
      <c r="L134" s="298">
        <f t="shared" si="6"/>
        <v>7.3594070844008964E-26</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7.3487542669744894E-26</v>
      </c>
      <c r="L135" s="298">
        <f t="shared" si="6"/>
        <v>7.3487542669744894E-26</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7.356097733945245E-26</v>
      </c>
      <c r="L136" s="298">
        <f t="shared" si="6"/>
        <v>7.356097733945245E-26</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6.508402137399746E-3</v>
      </c>
      <c r="L137" s="298">
        <f t="shared" si="6"/>
        <v>6.508402137399746E-3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6.8902045811906283E-6</v>
      </c>
      <c r="L138" s="298">
        <f t="shared" si="6"/>
        <v>6.8902045811906283E-6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4.9865311833661188E-28</v>
      </c>
      <c r="L139" s="298">
        <f t="shared" si="6"/>
        <v>4.9865311833661188E-28</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9.0765685103274836E-28</v>
      </c>
      <c r="L140" s="298">
        <f t="shared" si="6"/>
        <v>9.0765685103274836E-28</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4.9865311833661188E-28</v>
      </c>
      <c r="L141" s="298">
        <f t="shared" si="6"/>
        <v>4.9865311833661188E-28</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7.9386697328305655E-11</v>
      </c>
      <c r="L148" s="298">
        <f t="shared" ref="L148:L166" si="7">IF(ISBLANK(I148),IF(ISNUMBER(J148)=FALSE,K148,J148),I148)</f>
        <v>7.9386697328305655E-11</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2.5985595260531316E-8</v>
      </c>
      <c r="L149" s="298">
        <f t="shared" si="7"/>
        <v>2.5985595260531316E-8</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4.8645427583599371E-9</v>
      </c>
      <c r="L150" s="298">
        <f t="shared" si="7"/>
        <v>4.8645427583599371E-9</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6.2051162656002384E-8</v>
      </c>
      <c r="L152" s="298">
        <f t="shared" si="7"/>
        <v>6.2051162656002384E-8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4.4425291563015679E-8</v>
      </c>
      <c r="L153" s="298">
        <f t="shared" si="7"/>
        <v>4.4425291563015679E-8</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7.938669732830565E-9</v>
      </c>
      <c r="L154" s="298">
        <f t="shared" si="7"/>
        <v>7.938669732830565E-9</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5.0499062570467585E-8</v>
      </c>
      <c r="L156" s="298">
        <f t="shared" si="7"/>
        <v>5.0499062570467585E-8</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2.1160266404598745E-8</v>
      </c>
      <c r="L158" s="298">
        <f t="shared" si="7"/>
        <v>2.1160266404598745E-8</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4.0601657370321782E-21</v>
      </c>
      <c r="L195" s="298">
        <f t="shared" si="11"/>
        <v>4.0601657370321782E-21</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4.0542886053799232E-21</v>
      </c>
      <c r="L196" s="298">
        <f t="shared" si="11"/>
        <v>4.0542886053799232E-21</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4.0583399769977389E-21</v>
      </c>
      <c r="L197" s="298">
        <f t="shared" si="11"/>
        <v>4.0583399769977389E-21</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9.1429324159056473E-10</v>
      </c>
      <c r="L200" s="298">
        <f t="shared" si="11"/>
        <v>9.1429324159056473E-10</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3.1465974921184272E-11</v>
      </c>
      <c r="L201" s="298">
        <f t="shared" si="11"/>
        <v>3.1465974921184272E-11</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1.4318725114625945E-11</v>
      </c>
      <c r="L202" s="298">
        <f t="shared" si="11"/>
        <v>1.4318725114625945E-11</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3.1465974921184272E-11</v>
      </c>
      <c r="L203" s="298">
        <f t="shared" si="11"/>
        <v>3.1465974921184272E-11</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4.0601657370321782E-21</v>
      </c>
      <c r="L208" s="298">
        <f t="shared" si="11"/>
        <v>4.0601657370321782E-21</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4.0542886053799232E-21</v>
      </c>
      <c r="L209" s="298">
        <f t="shared" si="11"/>
        <v>4.0542886053799232E-21</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4.0583399769977389E-21</v>
      </c>
      <c r="L210" s="298">
        <f t="shared" si="11"/>
        <v>4.0583399769977389E-21</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5.2255041078331695E-5</v>
      </c>
      <c r="L231" s="298">
        <f t="shared" ref="L231:L243" si="12">IF(ISBLANK(I231),IF(ISNUMBER(J231)=FALSE,K231,J231),I231)</f>
        <v>5.2255041078331695E-5</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4.9939710008047184E-6</v>
      </c>
      <c r="L232" s="298">
        <f t="shared" si="12"/>
        <v>4.9939710008047184E-6</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0.12482772414131724</v>
      </c>
      <c r="L233" s="298">
        <f t="shared" si="12"/>
        <v>0.12482772414131724</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4.7261070077526979E-5</v>
      </c>
      <c r="L236" s="298">
        <f t="shared" si="12"/>
        <v>4.7261070077526979E-5</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0.38593273622626317</v>
      </c>
      <c r="L239" s="298">
        <f t="shared" si="12"/>
        <v>0.38593273622626317</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1.6244980782655142E-7</v>
      </c>
      <c r="L240" s="298">
        <f t="shared" si="12"/>
        <v>1.6244980782655142E-7</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0.90105673551617038</v>
      </c>
      <c r="L243" s="298">
        <f t="shared" si="12"/>
        <v>0.90105673551617038</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5.9327173676198873E-5</v>
      </c>
      <c r="L245" s="551">
        <f t="shared" ref="L245:L261" si="13">IF(ISBLANK(I245),IF(ISNUMBER(J245)=FALSE,K245,J245),I245)</f>
        <v>5.9327173676198873E-5</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8.3871815840726489E-17</v>
      </c>
      <c r="L247" s="551">
        <f t="shared" si="13"/>
        <v>8.3871815840726489E-17</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5.967487523623992E-5</v>
      </c>
      <c r="L250" s="298">
        <f t="shared" si="13"/>
        <v>5.967487523623992E-5</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8.4363367340726483E-17</v>
      </c>
      <c r="L252" s="298">
        <f t="shared" si="13"/>
        <v>8.4363367340726483E-17</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2.967939145446494E-3</v>
      </c>
      <c r="L255" s="298">
        <f t="shared" si="13"/>
        <v>2.967939145446494E-3</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8.3916502340726485E-17</v>
      </c>
      <c r="L257" s="298">
        <f t="shared" si="13"/>
        <v>8.3916502340726485E-17</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3.6888670072520785E-21</v>
      </c>
      <c r="L261" s="298">
        <f t="shared" si="13"/>
        <v>3.6888670072520785E-21</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8.6528931279242802E-8</v>
      </c>
      <c r="L263" s="298">
        <f t="shared" ref="L263:L276" si="14">IF(ISBLANK(I263),IF(ISNUMBER(J263)=FALSE,K263,J263),I263)</f>
        <v>8.6528931279242802E-8</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2.4465478934686075E-15</v>
      </c>
      <c r="L265" s="298">
        <f t="shared" si="14"/>
        <v>2.4465478934686075E-15</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6.3963285236658089E-6</v>
      </c>
      <c r="L267" s="298">
        <f t="shared" si="14"/>
        <v>6.3963285236658089E-6</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6.0283976099686068E-15</v>
      </c>
      <c r="L269" s="298">
        <f t="shared" si="14"/>
        <v>6.0283976099686068E-15</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4.9022739253694927E-5</v>
      </c>
      <c r="L271" s="298">
        <f t="shared" si="14"/>
        <v>4.9022739253694927E-5</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2.7721705949686074E-15</v>
      </c>
      <c r="L273" s="298">
        <f t="shared" si="14"/>
        <v>2.7721705949686074E-15</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8.3432920059282575E-16</v>
      </c>
      <c r="L276" s="298">
        <f t="shared" si="14"/>
        <v>8.3432920059282575E-16</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1.1864732307845752E-4</v>
      </c>
      <c r="L278" s="298">
        <f t="shared" ref="L278:L285" si="15">IF(ISBLANK(I278),IF(ISNUMBER(J278)=FALSE,K278,J278),I278)</f>
        <v>1.1864732307845752E-4</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1.1864732307845752E-4</v>
      </c>
      <c r="L280" s="298">
        <f t="shared" si="15"/>
        <v>1.1864732307845752E-4</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5.9323661539228767E-3</v>
      </c>
      <c r="L282" s="298">
        <f t="shared" si="15"/>
        <v>5.9323661539228767E-3</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3.6888670072520785E-21</v>
      </c>
      <c r="L285" s="298">
        <f t="shared" si="15"/>
        <v>3.6888670072520785E-21</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1.4420120046993993E-4</v>
      </c>
      <c r="L287" s="298">
        <f t="shared" ref="L287:L302" si="16">IF(ISBLANK(I287),IF(ISNUMBER(J287)=FALSE,K287,J287),I287)</f>
        <v>1.4420120046993993E-4</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1.4420120046993993E-4</v>
      </c>
      <c r="L288" s="298">
        <f t="shared" si="16"/>
        <v>1.4420120046993993E-4</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7.2100600234969968E-3</v>
      </c>
      <c r="L289" s="298">
        <f t="shared" si="16"/>
        <v>7.2100600234969968E-3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0.54689640474525381</v>
      </c>
      <c r="L292" s="298">
        <f t="shared" si="16"/>
        <v>0.54689640474525381</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0.54688100362509362</v>
      </c>
      <c r="L293" s="298">
        <f t="shared" si="16"/>
        <v>0.54688100362509362</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5.2510265498612906E-8</v>
      </c>
      <c r="L297" s="298">
        <f t="shared" si="16"/>
        <v>5.2510265498612906E-8</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1.5348609894728741E-5</v>
      </c>
      <c r="L298" s="298">
        <f t="shared" si="16"/>
        <v>1.5348609894728741E-5</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1.7535615368506079</v>
      </c>
      <c r="L299" s="298">
        <f t="shared" si="16"/>
        <v>1.7535615368506079</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1.9532490574406746E-5</v>
      </c>
      <c r="L302" s="298">
        <f t="shared" si="16"/>
        <v>1.9532490574406746E-5</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9.9663751385904359E-2</v>
      </c>
      <c r="L304" s="298">
        <f t="shared" ref="L304:L309" si="17">IF(ISBLANK(I304),IF(ISNUMBER(J304)=FALSE,K304,J304),I304)</f>
        <v>9.9663751385904359E-2</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9.9663751385904359E-2</v>
      </c>
      <c r="L305" s="298">
        <f t="shared" si="17"/>
        <v>9.9663751385904359E-2</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9.9663751385904359E-2</v>
      </c>
      <c r="L306" s="298">
        <f t="shared" si="17"/>
        <v>9.9663751385904359E-2</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3.6888670072520785E-21</v>
      </c>
      <c r="L309" s="298">
        <f t="shared" si="17"/>
        <v>3.6888670072520785E-21</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2.8525040501634097E-2</v>
      </c>
      <c r="L311" s="298">
        <f t="shared" ref="L311:L324" si="18">IF(ISBLANK(I311),IF(ISNUMBER(J311)=FALSE,K311,J311),I311)</f>
        <v>2.8525040501634097E-2</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1.0732525526775902</v>
      </c>
      <c r="L314" s="298">
        <f t="shared" si="18"/>
        <v>1.0732525526775902</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1.0732371515574299</v>
      </c>
      <c r="L315" s="298">
        <f t="shared" si="18"/>
        <v>1.0732371515574299</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5.2510265498612906E-8</v>
      </c>
      <c r="L319" s="298">
        <f t="shared" si="18"/>
        <v>5.2510265498612906E-8</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1.5348609894728741E-5</v>
      </c>
      <c r="L320" s="298">
        <f t="shared" si="18"/>
        <v>1.5348609894728741E-5</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1.7535615368506079</v>
      </c>
      <c r="L321" s="298">
        <f t="shared" si="18"/>
        <v>1.7535615368506079</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1.9532490574406746E-5</v>
      </c>
      <c r="L324" s="298">
        <f t="shared" si="18"/>
        <v>1.9532490574406746E-5</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2.8525040501634097E-2</v>
      </c>
      <c r="L325" s="298">
        <f>IF(ISBLANK(I330),IF(ISNUMBER(J325)=FALSE,K325,J325),I330)</f>
        <v>2.8525040501634097E-2</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1.0732525526775902</v>
      </c>
      <c r="L328" s="298">
        <f t="shared" si="19"/>
        <v>1.0732525526775902</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1.0732371515574299</v>
      </c>
      <c r="L329" s="298">
        <f t="shared" si="19"/>
        <v>1.0732371515574299</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5.2510265498612906E-8</v>
      </c>
      <c r="L333" s="298">
        <f t="shared" si="19"/>
        <v>5.2510265498612906E-8</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1.5348609894728741E-5</v>
      </c>
      <c r="L334" s="298">
        <f t="shared" si="19"/>
        <v>1.5348609894728741E-5</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1.7535615368506079</v>
      </c>
      <c r="L337" s="298">
        <f t="shared" si="19"/>
        <v>1.7535615368506079</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1.9532490574406746E-5</v>
      </c>
      <c r="L338" s="298">
        <f t="shared" si="19"/>
        <v>1.9532490574406746E-5</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2.8525040501634097E-2</v>
      </c>
      <c r="L339" s="298">
        <f t="shared" si="19"/>
        <v>2.8525040501634097E-2</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1.0732525526775902</v>
      </c>
      <c r="L342" s="298">
        <f t="shared" si="19"/>
        <v>1.0732525526775902</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1.0732371515574299</v>
      </c>
      <c r="L343" s="298">
        <f t="shared" si="19"/>
        <v>1.0732371515574299</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5.2510265498612906E-8</v>
      </c>
      <c r="L347" s="298">
        <f t="shared" si="19"/>
        <v>5.2510265498612906E-8</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1.5348609894728741E-5</v>
      </c>
      <c r="L348" s="298">
        <f t="shared" si="19"/>
        <v>1.5348609894728741E-5</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1.7535615368506079</v>
      </c>
      <c r="L351" s="298">
        <f t="shared" si="19"/>
        <v>1.7535615368506079</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1.9532490574406746E-5</v>
      </c>
      <c r="L352" s="298">
        <f t="shared" si="19"/>
        <v>1.9532490574406746E-5</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1999.052936069301</v>
      </c>
      <c r="L365" s="298">
        <f t="shared" si="21"/>
        <v>1999.052936069301</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7.8216041740805096E-19</v>
      </c>
      <c r="L367" s="298">
        <f t="shared" si="21"/>
        <v>7.8216041740805096E-19</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2.9727496338664685E-8</v>
      </c>
      <c r="L369" s="298">
        <f t="shared" si="21"/>
        <v>2.9727496338664685E-8</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6.6412508933626397E-4</v>
      </c>
      <c r="L370" s="298">
        <f t="shared" si="21"/>
        <v>6.6412508933626397E-4</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2.9162673908230058E-7</v>
      </c>
      <c r="L371" s="298">
        <f t="shared" si="21"/>
        <v>2.9162673908230058E-7</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1.5500247909018642E-7</v>
      </c>
      <c r="L380" s="298">
        <f t="shared" si="21"/>
        <v>1.5500247909018642E-7</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3.4628221599474589E-3</v>
      </c>
      <c r="L381" s="298">
        <f t="shared" si="21"/>
        <v>3.4628221599474589E-3</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620">
        <f>((L364)^2*(L365-input!L331)*9.81*L378)/(18*DYNVISC.a)</f>
        <v>3.8014357996868221E-7</v>
      </c>
      <c r="L382" s="298">
        <f t="shared" si="21"/>
        <v>3.8014357996868221E-7</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18936.747269026804</v>
      </c>
      <c r="L383" s="298">
        <f t="shared" si="21"/>
        <v>18936.747269026804</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8.9902911146974618E-7</v>
      </c>
      <c r="L389" s="298">
        <f t="shared" si="21"/>
        <v>8.9902911146974618E-7</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3.344304138987743E-3</v>
      </c>
      <c r="L390" s="298">
        <f t="shared" si="21"/>
        <v>3.344304138987743E-3</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225.04194327537255</v>
      </c>
      <c r="L392" s="298">
        <f t="shared" si="21"/>
        <v>225.04194327537255</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6.8801678764196196E-7</v>
      </c>
      <c r="L399" s="298">
        <f t="shared" si="22"/>
        <v>6.8801678764196196E-7</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1.9978424699327687E-6</v>
      </c>
      <c r="L400" s="298">
        <f t="shared" si="22"/>
        <v>1.9978424699327687E-6</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3.344304138987743E-3</v>
      </c>
      <c r="L401" s="298">
        <f t="shared" si="22"/>
        <v>3.344304138987743E-3</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225.04194327537255</v>
      </c>
      <c r="L403" s="298">
        <f t="shared" si="22"/>
        <v>225.04194327537255</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6.8801678764196196E-7</v>
      </c>
      <c r="L410" s="298">
        <f t="shared" si="22"/>
        <v>6.8801678764196196E-7</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3.3297374498879489E-7</v>
      </c>
      <c r="L411" s="298">
        <f t="shared" si="22"/>
        <v>3.3297374498879489E-7</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3.344304138987743E-3</v>
      </c>
      <c r="L412" s="298">
        <f t="shared" si="22"/>
        <v>3.344304138987743E-3</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225.04194327537255</v>
      </c>
      <c r="L414" s="298">
        <f t="shared" si="22"/>
        <v>225.04194327537255</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6.8801678764196196E-7</v>
      </c>
      <c r="L421" s="298">
        <f t="shared" si="22"/>
        <v>6.8801678764196196E-7</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7.3498691768682326E-8</v>
      </c>
      <c r="L422" s="298">
        <f t="shared" si="22"/>
        <v>7.3498691768682326E-8</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2.7340825336606499E-4</v>
      </c>
      <c r="L423" s="298">
        <f t="shared" si="22"/>
        <v>2.7340825336606499E-4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3588.6265360861535</v>
      </c>
      <c r="L424" s="298">
        <f t="shared" si="22"/>
        <v>3588.6265360861535</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1.857499922772198E-5</v>
      </c>
      <c r="L427" s="298">
        <f t="shared" si="22"/>
        <v>1.857499922772198E-5</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1.6333042615262735E-7</v>
      </c>
      <c r="L428" s="298">
        <f t="shared" ref="L428:L459" si="23">IF(ISBLANK(I428),IF(ISNUMBER(J428)=FALSE,K428,J428),I428)</f>
        <v>1.6333042615262735E-7</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2.7340825336606499E-4</v>
      </c>
      <c r="L429" s="298">
        <f t="shared" si="23"/>
        <v>2.7340825336606499E-4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3588.6265360861535</v>
      </c>
      <c r="L430" s="298">
        <f t="shared" si="23"/>
        <v>3588.6265360861535</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1.4075475589468128E-3</v>
      </c>
      <c r="L431" s="298">
        <f t="shared" si="23"/>
        <v>1.4075475589468128E-3</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4.0499237605021189E-5</v>
      </c>
      <c r="L432" s="298">
        <f t="shared" si="23"/>
        <v>4.0499237605021189E-5</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1.857499922772198E-5</v>
      </c>
      <c r="L433" s="298">
        <f t="shared" si="23"/>
        <v>1.857499922772198E-5</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2.7221737692104566E-8</v>
      </c>
      <c r="L434" s="298">
        <f t="shared" si="23"/>
        <v>2.7221737692104566E-8</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2.7340825336606499E-4</v>
      </c>
      <c r="L435" s="298">
        <f t="shared" si="23"/>
        <v>2.7340825336606499E-4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3588.6265360861535</v>
      </c>
      <c r="L436" s="298">
        <f t="shared" si="23"/>
        <v>3588.6265360861535</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1.857499922772198E-5</v>
      </c>
      <c r="L439" s="298">
        <f t="shared" si="23"/>
        <v>1.857499922772198E-5</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1.5363717163615614E-8</v>
      </c>
      <c r="L443" s="298">
        <f t="shared" si="23"/>
        <v>1.5363717163615614E-8</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6.1723716868122194E-3</v>
      </c>
      <c r="L444" s="298">
        <f t="shared" si="23"/>
        <v>6.1723716868122194E-3</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1.6900088879977177E-7</v>
      </c>
      <c r="L450" s="298">
        <f t="shared" si="23"/>
        <v>1.6900088879977177E-7</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6.1723716868122194E-3</v>
      </c>
      <c r="L451" s="298">
        <f t="shared" si="23"/>
        <v>6.1723716868122194E-3</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1.9533027402937933E-8</v>
      </c>
      <c r="L453" s="298">
        <f t="shared" si="23"/>
        <v>1.9533027402937933E-8</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4.4841957556333257E-3</v>
      </c>
      <c r="L454" s="298">
        <f t="shared" si="23"/>
        <v>4.4841957556333257E-3</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3.1190868658211615E-9</v>
      </c>
      <c r="L456" s="298">
        <f t="shared" si="23"/>
        <v>3.1190868658211615E-9</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1.2530928065309229E-3</v>
      </c>
      <c r="L457" s="298">
        <f t="shared" si="23"/>
        <v>1.2530928065309229E-3</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3.4309955524032778E-8</v>
      </c>
      <c r="L461" s="298">
        <f t="shared" si="24"/>
        <v>3.4309955524032778E-8</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1.2530928065309229E-3</v>
      </c>
      <c r="L462" s="298">
        <f t="shared" si="24"/>
        <v>1.2530928065309229E-3</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5.0710555599854488E-9</v>
      </c>
      <c r="L463" s="298">
        <f t="shared" si="24"/>
        <v>5.0710555599854488E-9</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1.1641618756571908E-3</v>
      </c>
      <c r="L464" s="298">
        <f t="shared" si="24"/>
        <v>1.1641618756571908E-3</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1.7579241516966072E-12</v>
      </c>
      <c r="L486" s="712">
        <f t="shared" si="24"/>
        <v>1.7579241516966072E-12</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5.8597471723220234E-11</v>
      </c>
      <c r="L487" s="298">
        <f t="shared" si="24"/>
        <v>5.8597471723220234E-11</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1.7579241516966073E-11</v>
      </c>
      <c r="L488" s="298">
        <f t="shared" si="24"/>
        <v>1.7579241516966073E-11</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4.9055254134227732E-10</v>
      </c>
      <c r="L489" s="298">
        <f t="shared" si="24"/>
        <v>4.9055254134227732E-10</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1.6351751378075909E-8</v>
      </c>
      <c r="L490" s="298">
        <f t="shared" si="24"/>
        <v>1.6351751378075909E-8</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4.9055254134227726E-9</v>
      </c>
      <c r="L491" s="298">
        <f t="shared" si="24"/>
        <v>4.9055254134227726E-9</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2.9410419409277556E-7</v>
      </c>
      <c r="L492" s="298">
        <f t="shared" ref="L492:L521" si="25">IF(ISBLANK(I492),IF(ISNUMBER(J492)=FALSE,K492,J492),I492)</f>
        <v>2.9410419409277556E-7</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9.8034731364258519E-6</v>
      </c>
      <c r="L493" s="298">
        <f t="shared" si="25"/>
        <v>9.8034731364258519E-6</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2.9410419409277556E-6</v>
      </c>
      <c r="L494" s="298">
        <f t="shared" si="25"/>
        <v>2.9410419409277556E-6</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9.1429324158650348E-10</v>
      </c>
      <c r="L542" s="298">
        <f t="shared" si="26"/>
        <v>9.1429324158650348E-10</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9.1429324158650348E-10</v>
      </c>
      <c r="L543" s="298">
        <f t="shared" si="26"/>
        <v>9.1429324158650348E-10</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9.1429324158650348E-10</v>
      </c>
      <c r="L544" s="298">
        <f t="shared" si="26"/>
        <v>9.1429324158650348E-10</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88" transitionEvaluation="1" transitionEntry="1" codeName="Sheet3"/>
  <dimension ref="A1:U565"/>
  <sheetViews>
    <sheetView topLeftCell="A388" zoomScaleNormal="100" workbookViewId="0">
      <selection activeCell="K395" sqref="K395"/>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9.4383161237186709E-9</v>
      </c>
      <c r="L115" s="298">
        <f t="shared" ref="L115:L130" si="5">IF(ISBLANK(I115),IF(ISNUMBER(J115)=FALSE,K115,J115),I115)</f>
        <v>9.4383161237186709E-9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1.0382147736090536E-7</v>
      </c>
      <c r="L116" s="298">
        <f t="shared" si="5"/>
        <v>1.0382147736090536E-7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4.0217953178548807E-6</v>
      </c>
      <c r="L117" s="298">
        <f t="shared" si="5"/>
        <v>4.0217953178548807E-6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1.0193381413613145E-6</v>
      </c>
      <c r="L118" s="298">
        <f t="shared" si="5"/>
        <v>1.0193381413613145E-6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2.2651958696918096E-6</v>
      </c>
      <c r="L119" s="298">
        <f t="shared" si="5"/>
        <v>2.2651958696918096E-6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3.775326449486349E-7</v>
      </c>
      <c r="L120" s="298">
        <f t="shared" si="5"/>
        <v>3.775326449486349E-7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7.3594070844008963E-28</v>
      </c>
      <c r="L121" s="298">
        <f t="shared" si="5"/>
        <v>7.3594070844008963E-28</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2.4495847556581632E-26</v>
      </c>
      <c r="L122" s="298">
        <f t="shared" si="5"/>
        <v>2.4495847556581632E-26</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3.6780488669726225E-28</v>
      </c>
      <c r="L123" s="298">
        <f t="shared" si="5"/>
        <v>3.6780488669726225E-28</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9.9730623667322376E-27</v>
      </c>
      <c r="L124" s="298">
        <f t="shared" si="5"/>
        <v>9.9730623667322376E-27</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4.5382842551637416E-27</v>
      </c>
      <c r="L125" s="298">
        <f t="shared" si="5"/>
        <v>4.5382842551637416E-27</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9.9730623667322376E-27</v>
      </c>
      <c r="L126" s="298">
        <f t="shared" si="5"/>
        <v>9.9730623667322376E-27</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7.7971217673395943E-6</v>
      </c>
      <c r="L127" s="298">
        <f t="shared" si="5"/>
        <v>7.7971217673395943E-6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9.4792977309678589E-6</v>
      </c>
      <c r="L128" s="298">
        <f t="shared" si="5"/>
        <v>9.4792977309678589E-6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2.6821759636278408E-6</v>
      </c>
      <c r="L129" s="298">
        <f t="shared" si="5"/>
        <v>2.6821759636278408E-6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2.7548278268381724E-15</v>
      </c>
      <c r="L138" s="298">
        <f t="shared" si="6"/>
        <v>2.7548278268381724E-15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4.4348686949202964E-16</v>
      </c>
      <c r="L139" s="298">
        <f t="shared" si="6"/>
        <v>4.4348686949202964E-16</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7.3594070844008964E-26</v>
      </c>
      <c r="L140" s="298">
        <f t="shared" si="6"/>
        <v>7.3594070844008964E-26</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7.3487542669744894E-26</v>
      </c>
      <c r="L141" s="298">
        <f t="shared" si="6"/>
        <v>7.3487542669744894E-26</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7.356097733945245E-26</v>
      </c>
      <c r="L142" s="298">
        <f t="shared" si="6"/>
        <v>7.356097733945245E-26</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6.508402137399746E-3</v>
      </c>
      <c r="L143" s="298">
        <f t="shared" si="6"/>
        <v>6.508402137399746E-3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6.8902045811906283E-6</v>
      </c>
      <c r="L144" s="298">
        <f t="shared" si="6"/>
        <v>6.8902045811906283E-6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4.9865311833661188E-28</v>
      </c>
      <c r="L145" s="298">
        <f t="shared" si="6"/>
        <v>4.9865311833661188E-28</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9.0765685103274836E-28</v>
      </c>
      <c r="L146" s="298">
        <f t="shared" si="6"/>
        <v>9.0765685103274836E-28</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4.9865311833661188E-28</v>
      </c>
      <c r="L147" s="298">
        <f t="shared" si="6"/>
        <v>4.9865311833661188E-28</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7.9386697328305655E-11</v>
      </c>
      <c r="L154" s="298">
        <f t="shared" ref="L154:L172" si="7">IF(ISBLANK(I154),IF(ISNUMBER(J154)=FALSE,K154,J154),I154)</f>
        <v>7.9386697328305655E-11</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2.5985595260531316E-8</v>
      </c>
      <c r="L155" s="298">
        <f t="shared" si="7"/>
        <v>2.5985595260531316E-8</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2.4322713791799687E-10</v>
      </c>
      <c r="L156" s="298">
        <f t="shared" si="7"/>
        <v>2.4322713791799687E-10</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6.2072302517233058E-8</v>
      </c>
      <c r="L158" s="298">
        <f t="shared" si="7"/>
        <v>6.2072302517233058E-8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4.442625147126885E-8</v>
      </c>
      <c r="L159" s="298">
        <f t="shared" si="7"/>
        <v>4.442625147126885E-8</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7.938669732830565E-9</v>
      </c>
      <c r="L160" s="298">
        <f t="shared" si="7"/>
        <v>7.938669732830565E-9</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5.0499062570467585E-8</v>
      </c>
      <c r="L162" s="298">
        <f t="shared" si="7"/>
        <v>5.0499062570467585E-8</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2.1160266404598745E-8</v>
      </c>
      <c r="L164" s="298">
        <f t="shared" si="7"/>
        <v>2.1160266404598745E-8</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4.0601657370321782E-21</v>
      </c>
      <c r="L201" s="298">
        <f t="shared" si="10"/>
        <v>4.0601657370321782E-21</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4.0542886053799232E-21</v>
      </c>
      <c r="L202" s="298">
        <f t="shared" si="10"/>
        <v>4.0542886053799232E-21</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4.0583399769977389E-21</v>
      </c>
      <c r="L203" s="298">
        <f t="shared" si="10"/>
        <v>4.0583399769977389E-21</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3.1465974921184272E-11</v>
      </c>
      <c r="L207" s="298">
        <f t="shared" si="10"/>
        <v>3.1465974921184272E-11</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1.4318725114625945E-11</v>
      </c>
      <c r="L208" s="298">
        <f t="shared" si="10"/>
        <v>1.4318725114625945E-11</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3.1465974921184272E-11</v>
      </c>
      <c r="L209" s="298">
        <f t="shared" si="10"/>
        <v>3.1465974921184272E-11</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4.0601657370321782E-21</v>
      </c>
      <c r="L214" s="298">
        <f t="shared" si="10"/>
        <v>4.0601657370321782E-21</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4.0542886053799232E-21</v>
      </c>
      <c r="L215" s="298">
        <f t="shared" si="10"/>
        <v>4.0542886053799232E-21</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4.0583399769977389E-21</v>
      </c>
      <c r="L216" s="298">
        <f t="shared" si="10"/>
        <v>4.0583399769977389E-21</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5.2255041078331695E-5</v>
      </c>
      <c r="L237" s="298">
        <f t="shared" ref="L237:L249" si="11">IF(ISBLANK(I237),IF(ISNUMBER(J237)=FALSE,K237,J237),I237)</f>
        <v>5.2255041078331695E-5</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4.9939710008047184E-6</v>
      </c>
      <c r="L238" s="298">
        <f t="shared" si="11"/>
        <v>4.9939710008047184E-6</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0.12482772414131724</v>
      </c>
      <c r="L241" s="298">
        <f t="shared" si="11"/>
        <v>0.12482772414131724</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4.7261070077526979E-5</v>
      </c>
      <c r="L242" s="298">
        <f t="shared" si="11"/>
        <v>4.7261070077526979E-5</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0.38593273622626317</v>
      </c>
      <c r="L245" s="298">
        <f t="shared" si="11"/>
        <v>0.38593273622626317</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1.6244980782655142E-7</v>
      </c>
      <c r="L246" s="298">
        <f t="shared" si="11"/>
        <v>1.6244980782655142E-7</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0.90105673551617038</v>
      </c>
      <c r="L249" s="298">
        <f t="shared" si="11"/>
        <v>0.90105673551617038</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5.9327173676198873E-5</v>
      </c>
      <c r="L251" s="551">
        <f t="shared" ref="L251:L267" si="12">IF(ISBLANK(I251),IF(ISNUMBER(J251)=FALSE,K251,J251),I251)</f>
        <v>5.9327173676198873E-5</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8.3871815840726489E-17</v>
      </c>
      <c r="L253" s="551">
        <f t="shared" si="12"/>
        <v>8.3871815840726489E-17</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5.967487523623992E-5</v>
      </c>
      <c r="L256" s="298">
        <f t="shared" si="12"/>
        <v>5.967487523623992E-5</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8.4363367340726483E-17</v>
      </c>
      <c r="L258" s="298">
        <f t="shared" si="12"/>
        <v>8.4363367340726483E-17</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2.967939145446494E-3</v>
      </c>
      <c r="L261" s="298">
        <f t="shared" si="12"/>
        <v>2.967939145446494E-3</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8.3916502340726485E-17</v>
      </c>
      <c r="L263" s="298">
        <f t="shared" si="12"/>
        <v>8.3916502340726485E-17</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3.6888670072520785E-21</v>
      </c>
      <c r="L267" s="298">
        <f t="shared" si="12"/>
        <v>3.6888670072520785E-21</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8.6528931279242802E-8</v>
      </c>
      <c r="L269" s="298">
        <f t="shared" ref="L269:L282" si="13">IF(ISBLANK(I269),IF(ISNUMBER(J269)=FALSE,K269,J269),I269)</f>
        <v>8.6528931279242802E-8</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2.4465478934686075E-15</v>
      </c>
      <c r="L271" s="298">
        <f t="shared" si="13"/>
        <v>2.4465478934686075E-15</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6.3963285236658089E-6</v>
      </c>
      <c r="L273" s="298">
        <f t="shared" si="13"/>
        <v>6.3963285236658089E-6</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6.0283976099686068E-15</v>
      </c>
      <c r="L275" s="298">
        <f t="shared" si="13"/>
        <v>6.0283976099686068E-15</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4.9022739253694927E-5</v>
      </c>
      <c r="L277" s="298">
        <f t="shared" si="13"/>
        <v>4.9022739253694927E-5</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2.7721705949686074E-15</v>
      </c>
      <c r="L279" s="298">
        <f t="shared" si="13"/>
        <v>2.7721705949686074E-15</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8.3432920059282575E-16</v>
      </c>
      <c r="L282" s="298">
        <f t="shared" si="13"/>
        <v>8.3432920059282575E-16</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1.1864732307845752E-4</v>
      </c>
      <c r="L284" s="298">
        <f t="shared" ref="L284:L291" si="14">IF(ISBLANK(I284),IF(ISNUMBER(J284)=FALSE,K284,J284),I284)</f>
        <v>1.1864732307845752E-4</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1.1864732307845752E-4</v>
      </c>
      <c r="L286" s="298">
        <f t="shared" si="14"/>
        <v>1.1864732307845752E-4</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5.9323661539228767E-3</v>
      </c>
      <c r="L288" s="298">
        <f t="shared" si="14"/>
        <v>5.9323661539228767E-3</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3.6888670072520785E-21</v>
      </c>
      <c r="L291" s="298">
        <f t="shared" si="14"/>
        <v>3.6888670072520785E-21</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1.4420120046993993E-4</v>
      </c>
      <c r="L293" s="298">
        <f t="shared" ref="L293:L308" si="15">IF(ISBLANK(I293),IF(ISNUMBER(J293)=FALSE,K293,J293),I293)</f>
        <v>1.4420120046993993E-4</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1.4420120046993993E-4</v>
      </c>
      <c r="L294" s="298">
        <f t="shared" si="15"/>
        <v>1.4420120046993993E-4</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7.2100600234969968E-3</v>
      </c>
      <c r="L295" s="298">
        <f t="shared" si="15"/>
        <v>7.2100600234969968E-3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0.54689640474525381</v>
      </c>
      <c r="L298" s="298">
        <f t="shared" si="15"/>
        <v>0.54689640474525381</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0.54688100362509362</v>
      </c>
      <c r="L299" s="990">
        <f t="shared" si="15"/>
        <v>0.54688100362509362</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5.2510265498612906E-8</v>
      </c>
      <c r="L303" s="298">
        <f t="shared" si="15"/>
        <v>5.2510265498612906E-8</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1.5348609894728741E-5</v>
      </c>
      <c r="L304" s="298">
        <f t="shared" si="15"/>
        <v>1.5348609894728741E-5</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1.7535615368506079</v>
      </c>
      <c r="L305" s="298">
        <f t="shared" si="15"/>
        <v>1.7535615368506079</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1.9532490574406746E-5</v>
      </c>
      <c r="L308" s="298">
        <f t="shared" si="15"/>
        <v>1.9532490574406746E-5</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9.9663751385904359E-2</v>
      </c>
      <c r="L310" s="298">
        <f t="shared" ref="L310:L315" si="16">IF(ISBLANK(I310),IF(ISNUMBER(J310)=FALSE,K310,J310),I310)</f>
        <v>9.9663751385904359E-2</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9.9663751385904359E-2</v>
      </c>
      <c r="L311" s="298">
        <f t="shared" si="16"/>
        <v>9.9663751385904359E-2</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9.9663751385904359E-2</v>
      </c>
      <c r="L312" s="298">
        <f t="shared" si="16"/>
        <v>9.9663751385904359E-2</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3.6888670072520785E-21</v>
      </c>
      <c r="L315" s="298">
        <f t="shared" si="16"/>
        <v>3.6888670072520785E-21</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2.8525040501634097E-2</v>
      </c>
      <c r="L317" s="298">
        <f t="shared" ref="L317:L358" si="17">IF(ISBLANK(I317),IF(ISNUMBER(J317)=FALSE,K317,J317),I317)</f>
        <v>2.8525040501634097E-2</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1.0732525526775902</v>
      </c>
      <c r="L320" s="298">
        <f t="shared" si="17"/>
        <v>1.0732525526775902</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1.0732371515574299</v>
      </c>
      <c r="L321" s="298">
        <f t="shared" si="17"/>
        <v>1.0732371515574299</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5.2510265498612906E-8</v>
      </c>
      <c r="L325" s="298">
        <f t="shared" si="17"/>
        <v>5.2510265498612906E-8</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1.5348609894728741E-5</v>
      </c>
      <c r="L326" s="298">
        <f t="shared" si="17"/>
        <v>1.5348609894728741E-5</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1.7535615368506079</v>
      </c>
      <c r="L327" s="298">
        <f t="shared" si="17"/>
        <v>1.7535615368506079</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1.9532490574406746E-5</v>
      </c>
      <c r="L330" s="298">
        <f t="shared" si="17"/>
        <v>1.9532490574406746E-5</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2.8525040501634097E-2</v>
      </c>
      <c r="L331" s="298">
        <f t="shared" si="17"/>
        <v>2.8525040501634097E-2</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1.0732525526775902</v>
      </c>
      <c r="L334" s="298">
        <f t="shared" si="17"/>
        <v>1.0732525526775902</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1.0732371515574299</v>
      </c>
      <c r="L335" s="298">
        <f t="shared" si="17"/>
        <v>1.0732371515574299</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5.2510265498612906E-8</v>
      </c>
      <c r="L339" s="298">
        <f t="shared" si="17"/>
        <v>5.2510265498612906E-8</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1.5348609894728741E-5</v>
      </c>
      <c r="L340" s="298">
        <f t="shared" si="17"/>
        <v>1.5348609894728741E-5</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1.7535615368506079</v>
      </c>
      <c r="L343" s="298">
        <f t="shared" si="17"/>
        <v>1.7535615368506079</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1.9532490574406746E-5</v>
      </c>
      <c r="L344" s="298">
        <f t="shared" si="17"/>
        <v>1.9532490574406746E-5</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2.8525040501634097E-2</v>
      </c>
      <c r="L345" s="298">
        <f t="shared" si="17"/>
        <v>2.8525040501634097E-2</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1.0732525526775902</v>
      </c>
      <c r="L348" s="298">
        <f t="shared" si="17"/>
        <v>1.0732525526775902</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1.0732371515574299</v>
      </c>
      <c r="L349" s="298">
        <f t="shared" si="17"/>
        <v>1.0732371515574299</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5.2510265498612906E-8</v>
      </c>
      <c r="L353" s="298">
        <f t="shared" si="17"/>
        <v>5.2510265498612906E-8</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1.5348609894728741E-5</v>
      </c>
      <c r="L354" s="298">
        <f t="shared" si="17"/>
        <v>1.5348609894728741E-5</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1.7535615368506079</v>
      </c>
      <c r="L357" s="298">
        <f t="shared" si="17"/>
        <v>1.7535615368506079</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1.9532490574406746E-5</v>
      </c>
      <c r="L358" s="298">
        <f t="shared" si="17"/>
        <v>1.9532490574406746E-5</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1999.052936069301</v>
      </c>
      <c r="L371" s="550">
        <f t="shared" si="19"/>
        <v>1999.052936069301</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7.8216041740805096E-19</v>
      </c>
      <c r="L373" s="550">
        <f t="shared" si="19"/>
        <v>7.8216041740805096E-19</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2.9727496338664685E-8</v>
      </c>
      <c r="L375" s="550">
        <f t="shared" si="19"/>
        <v>2.9727496338664685E-8</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6.6412508933626419E-4</v>
      </c>
      <c r="L376" s="550">
        <f t="shared" si="19"/>
        <v>6.6412508933626419E-4</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2.9162673908230058E-7</v>
      </c>
      <c r="L377" s="550">
        <f t="shared" si="19"/>
        <v>2.9162673908230058E-7</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1.5500247909018642E-7</v>
      </c>
      <c r="L386" s="550">
        <f t="shared" si="19"/>
        <v>1.5500247909018642E-7</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3.4628212100187104E-3</v>
      </c>
      <c r="L387" s="550">
        <f t="shared" si="19"/>
        <v>3.4628212100187104E-3</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1.5205743198747288E-6</v>
      </c>
      <c r="L388" s="550">
        <f t="shared" si="19"/>
        <v>1.5205743198747288E-6</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18936.747269026804</v>
      </c>
      <c r="L389" s="550">
        <f t="shared" si="19"/>
        <v>18936.747269026804</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4.3720976657762452E-7</v>
      </c>
      <c r="L395" s="706">
        <f t="shared" si="19"/>
        <v>4.3720976657762452E-7</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3.344304138987743E-3</v>
      </c>
      <c r="L396" s="550">
        <f t="shared" si="19"/>
        <v>3.344304138987743E-3</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225.04194327537255</v>
      </c>
      <c r="L398" s="550">
        <f t="shared" si="19"/>
        <v>225.04194327537255</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6.8801678764196249E-7</v>
      </c>
      <c r="L405" s="550">
        <f t="shared" si="20"/>
        <v>6.8801678764196249E-7</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9.7157725906138779E-7</v>
      </c>
      <c r="L406" s="550">
        <f t="shared" si="20"/>
        <v>9.7157725906138779E-7</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3.344304138987743E-3</v>
      </c>
      <c r="L407" s="550">
        <f t="shared" si="20"/>
        <v>3.344304138987743E-3</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225.04194327537255</v>
      </c>
      <c r="L409" s="550">
        <f t="shared" si="20"/>
        <v>225.04194327537255</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6.8801678764196249E-7</v>
      </c>
      <c r="L416" s="550">
        <f t="shared" si="20"/>
        <v>6.8801678764196249E-7</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1.6192954317689794E-7</v>
      </c>
      <c r="L417" s="550">
        <f t="shared" si="20"/>
        <v>1.6192954317689794E-7</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3.344304138987743E-3</v>
      </c>
      <c r="L418" s="550">
        <f t="shared" si="20"/>
        <v>3.344304138987743E-3</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225.04194327537255</v>
      </c>
      <c r="L420" s="550">
        <f t="shared" si="20"/>
        <v>225.04194327537255</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6.8801678764196249E-7</v>
      </c>
      <c r="L427" s="550">
        <f t="shared" si="20"/>
        <v>6.8801678764196249E-7</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3.5892478762201666E-8</v>
      </c>
      <c r="L428" s="550">
        <f t="shared" si="20"/>
        <v>3.5892478762201666E-8</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2.7454868225513206E-4</v>
      </c>
      <c r="L429" s="550">
        <f t="shared" si="20"/>
        <v>2.7454868225513206E-4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3588.62656091485</v>
      </c>
      <c r="L430" s="550">
        <f t="shared" si="20"/>
        <v>3588.62656091485</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1.8574989080578862E-5</v>
      </c>
      <c r="L433" s="550">
        <f t="shared" si="20"/>
        <v>1.8574989080578862E-5</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7.9761063916003689E-8</v>
      </c>
      <c r="L434" s="550">
        <f t="shared" ref="L434:L465" si="21">IF(ISBLANK(I434),IF(ISNUMBER(J434)=FALSE,K434,J434),I434)</f>
        <v>7.9761063916003689E-8</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2.7454868225513206E-4</v>
      </c>
      <c r="L435" s="550">
        <f t="shared" si="21"/>
        <v>2.7454868225513206E-4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3588.62656091485</v>
      </c>
      <c r="L436" s="550">
        <f t="shared" si="21"/>
        <v>3588.62656091485</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1.4075475589468128E-3</v>
      </c>
      <c r="L437" s="550">
        <f t="shared" si="21"/>
        <v>1.4075475589468128E-3</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4.0499237605021189E-5</v>
      </c>
      <c r="L438" s="550">
        <f t="shared" si="21"/>
        <v>4.0499237605021189E-5</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1.8574989080578862E-5</v>
      </c>
      <c r="L439" s="550">
        <f t="shared" si="21"/>
        <v>1.8574989080578862E-5</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1.3293510652667279E-8</v>
      </c>
      <c r="L440" s="550">
        <f t="shared" si="21"/>
        <v>1.3293510652667279E-8</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2.7454868225513206E-4</v>
      </c>
      <c r="L441" s="550">
        <f t="shared" si="21"/>
        <v>2.7454868225513206E-4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3588.62656091485</v>
      </c>
      <c r="L442" s="550">
        <f t="shared" si="21"/>
        <v>3588.62656091485</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1.8574989080578862E-5</v>
      </c>
      <c r="L445" s="550">
        <f t="shared" si="21"/>
        <v>1.8574989080578862E-5</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7.4715791837793808E-9</v>
      </c>
      <c r="L449" s="550">
        <f t="shared" si="21"/>
        <v>7.4715791837793808E-9</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6.1723716868122194E-3</v>
      </c>
      <c r="L450" s="550">
        <f t="shared" si="21"/>
        <v>6.1723716868122194E-3</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8.2187371021573177E-8</v>
      </c>
      <c r="L456" s="550">
        <f t="shared" si="21"/>
        <v>8.2187371021573177E-8</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6.1723716868122194E-3</v>
      </c>
      <c r="L457" s="550">
        <f t="shared" si="21"/>
        <v>6.1723716868122194E-3</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2.3129718174011259E-6</v>
      </c>
      <c r="L459" s="550">
        <f t="shared" si="21"/>
        <v>2.3129718174011259E-6</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4.4841957556333257E-3</v>
      </c>
      <c r="L460" s="550">
        <f t="shared" si="21"/>
        <v>4.4841957556333257E-3</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1.5182337394261403E-9</v>
      </c>
      <c r="L462" s="550">
        <f t="shared" si="21"/>
        <v>1.5182337394261403E-9</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1.2542332372708288E-3</v>
      </c>
      <c r="L463" s="550">
        <f t="shared" si="21"/>
        <v>1.2542332372708288E-3</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1.6700571133687542E-8</v>
      </c>
      <c r="L467" s="550">
        <f t="shared" si="22"/>
        <v>1.6700571133687542E-8</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1.2542332372708288E-3</v>
      </c>
      <c r="L468" s="550">
        <f t="shared" si="22"/>
        <v>1.2542332372708288E-3</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6.0106907466361124E-7</v>
      </c>
      <c r="L469" s="550">
        <f t="shared" si="22"/>
        <v>6.0106907466361124E-7</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1.1653023063970967E-3</v>
      </c>
      <c r="L470" s="550">
        <f t="shared" si="22"/>
        <v>1.1653023063970967E-3</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1.7579241516966074E-12</v>
      </c>
      <c r="L492" s="706">
        <f t="shared" si="22"/>
        <v>1.7579241516966074E-12</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5.8597471723220234E-11</v>
      </c>
      <c r="L493" s="550">
        <f t="shared" si="22"/>
        <v>5.8597471723220234E-11</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8.7896207584830351E-13</v>
      </c>
      <c r="L494" s="550">
        <f t="shared" si="22"/>
        <v>8.7896207584830351E-13</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4.9055254134227732E-10</v>
      </c>
      <c r="L495" s="550">
        <f t="shared" si="22"/>
        <v>4.9055254134227732E-10</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1.6351751378075909E-8</v>
      </c>
      <c r="L496" s="550">
        <f t="shared" si="22"/>
        <v>1.6351751378075909E-8</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2.4527627067113866E-10</v>
      </c>
      <c r="L497" s="550">
        <f t="shared" si="22"/>
        <v>2.4527627067113866E-10</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2.9410419409277561E-7</v>
      </c>
      <c r="L498" s="550">
        <f t="shared" ref="L498:L527" si="23">IF(ISBLANK(I498),IF(ISNUMBER(J498)=FALSE,K498,J498),I498)</f>
        <v>2.9410419409277561E-7</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9.8034731364258519E-6</v>
      </c>
      <c r="L499" s="550">
        <f t="shared" si="23"/>
        <v>9.8034731364258519E-6</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1.4705209704638778E-7</v>
      </c>
      <c r="L500" s="550">
        <f t="shared" si="23"/>
        <v>1.4705209704638778E-7</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E1" transitionEvaluation="1" transitionEntry="1" codeName="Sheet4"/>
  <dimension ref="A1:U972"/>
  <sheetViews>
    <sheetView topLeftCell="E1" zoomScaleNormal="100" workbookViewId="0">
      <selection activeCell="K478" sqref="K478"/>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3.9542347198872658E-6</v>
      </c>
      <c r="L78" s="298">
        <f t="shared" ref="L78:L85" si="5">IF(ISBLANK(I78),IF(ISNUMBER(J78)=FALSE,K78,J78),I78)</f>
        <v>3.9542347198872658E-6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3.9542347198861104E-6</v>
      </c>
      <c r="L79" s="298">
        <f t="shared" si="5"/>
        <v>3.9542347198861104E-6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7.356097733945245E-28</v>
      </c>
      <c r="L80" s="298">
        <f t="shared" si="5"/>
        <v>7.356097733945245E-28</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9.9730623667322376E-27</v>
      </c>
      <c r="L81" s="298">
        <f t="shared" si="5"/>
        <v>9.9730623667322376E-27</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7.908469439771777E-6</v>
      </c>
      <c r="L82" s="298">
        <f t="shared" si="5"/>
        <v>7.908469439771777E-6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9.0730402325653018E-6</v>
      </c>
      <c r="L83" s="298">
        <f t="shared" si="5"/>
        <v>9.0730402325653018E-6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2.1645707927931014E-6</v>
      </c>
      <c r="L84" s="298">
        <f t="shared" si="5"/>
        <v>2.1645707927931014E-6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2.7548278268381724E-15</v>
      </c>
      <c r="L94" s="298">
        <f t="shared" si="6"/>
        <v>2.7548278268381724E-15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4.4348686949202964E-16</v>
      </c>
      <c r="L95" s="298">
        <f t="shared" si="6"/>
        <v>4.4348686949202964E-16</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7.356097733945245E-26</v>
      </c>
      <c r="L96" s="298">
        <f t="shared" si="6"/>
        <v>7.356097733945245E-26</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4.9865311833661188E-28</v>
      </c>
      <c r="L97" s="298">
        <f t="shared" si="6"/>
        <v>4.9865311833661188E-28</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6.508402137399746E-3</v>
      </c>
      <c r="L98" s="298">
        <f t="shared" si="6"/>
        <v>6.508402137399746E-3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6.8902045811906283E-6</v>
      </c>
      <c r="L99" s="298">
        <f t="shared" si="6"/>
        <v>6.8902045811906283E-6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1.6215142527866458E-11</v>
      </c>
      <c r="L105" s="298">
        <f t="shared" ref="L105:L111" si="7">IF(ISBLANK(I105),IF(ISNUMBER(J105)=FALSE,K105,J105),I105)</f>
        <v>1.6215142527866458E-11</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4.5336600870287525E-8</v>
      </c>
      <c r="L106" s="298">
        <f t="shared" si="7"/>
        <v>4.5336600870287525E-8</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2.1160266404598745E-8</v>
      </c>
      <c r="L107" s="298">
        <f t="shared" si="7"/>
        <v>2.1160266404598745E-8</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4.0583399769977389E-21</v>
      </c>
      <c r="L126" s="298">
        <f t="shared" si="8"/>
        <v>4.0583399769977389E-21</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4.0583399769977389E-21</v>
      </c>
      <c r="L127" s="298">
        <f t="shared" si="8"/>
        <v>4.0583399769977389E-21</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3.1465974921184272E-11</v>
      </c>
      <c r="L129" s="298">
        <f t="shared" si="8"/>
        <v>3.1465974921184272E-11</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4.0583399769977389E-21</v>
      </c>
      <c r="L134" s="298">
        <f t="shared" si="8"/>
        <v>4.0583399769977389E-21</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4.0583399769977389E-21</v>
      </c>
      <c r="L135" s="298">
        <f t="shared" si="8"/>
        <v>4.0583399769977389E-21</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5.2255041078331695E-5</v>
      </c>
      <c r="L147" s="298">
        <f t="shared" ref="L147:L162" si="9">IF(ISBLANK(I147),IF(ISNUMBER(J147)=FALSE,K147,J147),I147)</f>
        <v>5.2255041078331695E-5</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4.9939710008047184E-6</v>
      </c>
      <c r="L148" s="298">
        <f t="shared" si="9"/>
        <v>4.9939710008047184E-6</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0.12482772414131724</v>
      </c>
      <c r="L152" s="298">
        <f t="shared" si="9"/>
        <v>0.12482772414131724</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4.7261070077526979E-5</v>
      </c>
      <c r="L153" s="298">
        <f t="shared" si="9"/>
        <v>4.7261070077526979E-5</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0.38593273622626317</v>
      </c>
      <c r="L157" s="298">
        <f t="shared" si="9"/>
        <v>0.38593273622626317</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1.6245156257802971E-7</v>
      </c>
      <c r="L158" s="298">
        <f t="shared" si="9"/>
        <v>1.6245156257802971E-7</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0.9010556667501195</v>
      </c>
      <c r="L162" s="298">
        <f t="shared" si="9"/>
        <v>0.9010556667501195</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2.967939145446494E-3</v>
      </c>
      <c r="L164" s="298">
        <f t="shared" ref="L164:L185" si="10">IF(ISBLANK(I164),IF(ISNUMBER(J164)=FALSE,K164,J164),I164)</f>
        <v>2.967939145446494E-3</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8.3916502340726485E-17</v>
      </c>
      <c r="L166" s="298">
        <f t="shared" si="10"/>
        <v>8.3916502340726485E-17</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2.967939145446494E-3</v>
      </c>
      <c r="L169" s="298">
        <f t="shared" si="10"/>
        <v>2.967939145446494E-3</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8.3916502340726485E-17</v>
      </c>
      <c r="L171" s="298">
        <f t="shared" si="10"/>
        <v>8.3916502340726485E-17</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3.6888670072520785E-21</v>
      </c>
      <c r="L175" s="298">
        <f t="shared" si="10"/>
        <v>3.6888670072520785E-21</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4.9022739253694927E-5</v>
      </c>
      <c r="L176" s="298">
        <f t="shared" si="10"/>
        <v>4.9022739253694927E-5</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2.7721705949686074E-15</v>
      </c>
      <c r="L178" s="298">
        <f t="shared" si="10"/>
        <v>2.7721705949686074E-15</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4.9022739253694927E-5</v>
      </c>
      <c r="L180" s="298">
        <f t="shared" si="10"/>
        <v>4.9022739253694927E-5</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2.7721705949686074E-15</v>
      </c>
      <c r="L182" s="298">
        <f t="shared" si="10"/>
        <v>2.7721705949686074E-15</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8.3432920059282575E-16</v>
      </c>
      <c r="L185" s="298">
        <f t="shared" si="10"/>
        <v>8.3432920059282575E-16</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5.9323661539228767E-3</v>
      </c>
      <c r="L187" s="298">
        <f t="shared" ref="L187:L204" si="11">IF(ISBLANK(I187),IF(ISNUMBER(J187)=FALSE,K187,J187),I187)</f>
        <v>5.9323661539228767E-3</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3.6888670072520785E-21</v>
      </c>
      <c r="L190" s="298">
        <f t="shared" si="11"/>
        <v>3.6888670072520785E-21</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7.2100600234969968E-3</v>
      </c>
      <c r="L191" s="298">
        <f t="shared" si="11"/>
        <v>7.2100600234969968E-3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0.54689640474525381</v>
      </c>
      <c r="L194" s="298">
        <f t="shared" si="11"/>
        <v>0.54689640474525381</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0.54688100362509362</v>
      </c>
      <c r="L195" s="298">
        <f t="shared" si="11"/>
        <v>0.54688100362509362</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5.2510265498612906E-8</v>
      </c>
      <c r="L199" s="298">
        <f t="shared" si="11"/>
        <v>5.2510265498612906E-8</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1.5348609894728741E-5</v>
      </c>
      <c r="L200" s="298">
        <f t="shared" si="11"/>
        <v>1.5348609894728741E-5</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1.7535615368506079</v>
      </c>
      <c r="L201" s="298">
        <f t="shared" si="11"/>
        <v>1.7535615368506079</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1.9532490574406746E-5</v>
      </c>
      <c r="L204" s="298">
        <f t="shared" si="11"/>
        <v>1.9532490574406746E-5</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9.9663751385904359E-2</v>
      </c>
      <c r="L206" s="298">
        <f>IF(ISBLANK(I206),IF(ISNUMBER(J206)=FALSE,K206,J206),I206)</f>
        <v>9.9663751385904359E-2</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3.6888670072520785E-21</v>
      </c>
      <c r="L210" s="298">
        <f t="shared" si="12"/>
        <v>3.6888670072520785E-21</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2.8525040501634097E-2</v>
      </c>
      <c r="L211" s="298">
        <f t="shared" si="12"/>
        <v>2.8525040501634097E-2</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1.0732525526775902</v>
      </c>
      <c r="L214" s="298">
        <f t="shared" si="12"/>
        <v>1.0732525526775902</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1.0732371515574299</v>
      </c>
      <c r="L215" s="298">
        <f t="shared" si="12"/>
        <v>1.0732371515574299</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5.2510265498612906E-8</v>
      </c>
      <c r="L219" s="298">
        <f t="shared" si="12"/>
        <v>5.2510265498612906E-8</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1.5348609894728741E-5</v>
      </c>
      <c r="L220" s="298">
        <f t="shared" si="12"/>
        <v>1.5348609894728741E-5</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1.7535615368506079</v>
      </c>
      <c r="L223" s="298">
        <f t="shared" si="12"/>
        <v>1.7535615368506079</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1.9532490574406746E-5</v>
      </c>
      <c r="L224" s="298">
        <f t="shared" si="12"/>
        <v>1.9532490574406746E-5</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1999.052936069301</v>
      </c>
      <c r="L237" s="298">
        <f>IF(ISBLANK(I237),IF(ISNUMBER(J237)=FALSE,K237,J237),I237)</f>
        <v>1999.052936069301</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7.8216041740805096E-19</v>
      </c>
      <c r="L239" s="298">
        <f>IF(ISBLANK(I239),IF(ISNUMBER(J239)=FALSE,K239,J239),I239)</f>
        <v>7.8216041740805096E-19</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2.9727496338664685E-8</v>
      </c>
      <c r="L242" s="298">
        <f t="shared" si="14"/>
        <v>2.9727496338664685E-8</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6.6412508933626419E-4</v>
      </c>
      <c r="L243" s="298">
        <f t="shared" si="14"/>
        <v>6.6412508933626419E-4</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2.9162673908230058E-7</v>
      </c>
      <c r="L244" s="298">
        <f t="shared" si="14"/>
        <v>2.9162673908230058E-7</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1.5500247909018642E-7</v>
      </c>
      <c r="L253" s="298">
        <f t="shared" si="14"/>
        <v>1.5500247909018642E-7</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3.4628212100187104E-3</v>
      </c>
      <c r="L254" s="298">
        <f t="shared" si="14"/>
        <v>3.4628212100187104E-3</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1.5205743198747288E-6</v>
      </c>
      <c r="L255" s="298">
        <f t="shared" si="14"/>
        <v>1.5205743198747288E-6</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1.672152571139643E-6</v>
      </c>
      <c r="L262" s="298">
        <f t="shared" si="14"/>
        <v>1.672152571139643E-6</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3.344304138987743E-3</v>
      </c>
      <c r="L263" s="298">
        <f t="shared" si="14"/>
        <v>3.344304138987743E-3</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225.04194327537255</v>
      </c>
      <c r="L265" s="298">
        <f t="shared" si="14"/>
        <v>225.04194327537255</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6.8801678764196249E-7</v>
      </c>
      <c r="L272" s="298">
        <f t="shared" si="14"/>
        <v>6.8801678764196249E-7</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1.3727438230988073E-7</v>
      </c>
      <c r="L273" s="298">
        <f t="shared" ref="L273:L304" si="15">IF(ISBLANK(I273),IF(ISNUMBER(J273)=FALSE,K273,J273),I273)</f>
        <v>1.3727438230988073E-7</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2.7454868225513206E-4</v>
      </c>
      <c r="L274" s="298">
        <f t="shared" si="15"/>
        <v>2.7454868225513206E-4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3588.62656091485</v>
      </c>
      <c r="L275" s="298">
        <f t="shared" si="15"/>
        <v>3588.62656091485</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1.8574989080578862E-5</v>
      </c>
      <c r="L278" s="298">
        <f t="shared" si="15"/>
        <v>1.8574989080578862E-5</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2.2420985504462281E-6</v>
      </c>
      <c r="L280" s="298">
        <f t="shared" si="15"/>
        <v>2.2420985504462281E-6</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4.4841957556333257E-3</v>
      </c>
      <c r="L281" s="298">
        <f t="shared" si="15"/>
        <v>4.4841957556333257E-3</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5.8265132799394667E-7</v>
      </c>
      <c r="L287" s="298">
        <f t="shared" si="15"/>
        <v>5.8265132799394667E-7</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1.1653023063970967E-3</v>
      </c>
      <c r="L288" s="298">
        <f t="shared" si="15"/>
        <v>1.1653023063970967E-3</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2.4911362543927156E-7</v>
      </c>
      <c r="L299" s="298">
        <f t="shared" si="15"/>
        <v>2.4911362543927156E-7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2.4960242005646211E-7</v>
      </c>
      <c r="L300" s="298">
        <f t="shared" si="15"/>
        <v>2.4960242005646211E-7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5.432160616078954E-7</v>
      </c>
      <c r="L301" s="298">
        <f t="shared" si="15"/>
        <v>5.432160616078954E-7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5.8597471723220236E-14</v>
      </c>
      <c r="L302" s="298">
        <f t="shared" si="15"/>
        <v>5.8597471723220236E-14</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1.6351751378075911E-11</v>
      </c>
      <c r="L303" s="298">
        <f t="shared" si="15"/>
        <v>1.6351751378075911E-11</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9.8034731364258516E-9</v>
      </c>
      <c r="L304" s="298">
        <f t="shared" si="15"/>
        <v>9.8034731364258516E-9</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1.6382953303749381E-33</v>
      </c>
      <c r="L402" s="298">
        <f t="shared" si="27"/>
        <v>1.6382953303749381E-33</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2.2211283594555704E-32</v>
      </c>
      <c r="L403" s="298">
        <f t="shared" si="27"/>
        <v>2.2211283594555704E-32</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1.4319096265003251E-19</v>
      </c>
      <c r="L416" s="298">
        <f t="shared" si="28"/>
        <v>1.4319096265003251E-19</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2.3051666788206991E-20</v>
      </c>
      <c r="L417" s="298">
        <f t="shared" si="28"/>
        <v>2.3051666788206991E-20</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1.6382953303749379E-31</v>
      </c>
      <c r="L418" s="298">
        <f t="shared" si="28"/>
        <v>1.6382953303749379E-31</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1.1105641797277852E-33</v>
      </c>
      <c r="L419" s="298">
        <f t="shared" si="28"/>
        <v>1.1105641797277852E-33</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6.508402137399746E-3</v>
      </c>
      <c r="L420" s="298">
        <f t="shared" si="28"/>
        <v>6.508402137399746E-3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6.8902045811906283E-6</v>
      </c>
      <c r="L421" s="298">
        <f t="shared" si="28"/>
        <v>6.8902045811906283E-6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1.6215142527866458E-11</v>
      </c>
      <c r="L427" s="298">
        <f t="shared" ref="L427:L433" si="29">IF(ISBLANK(I427),IF(ISNUMBER(J427)=FALSE,K427,J427),I427)</f>
        <v>1.6215142527866458E-11</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4.5337470818469933E-8</v>
      </c>
      <c r="L428" s="298">
        <f t="shared" si="29"/>
        <v>4.5337470818469933E-8</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2.1160266404598745E-8</v>
      </c>
      <c r="L429" s="298">
        <f t="shared" si="29"/>
        <v>2.1160266404598745E-8</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8.8324753825564025E-22</v>
      </c>
      <c r="L448" s="298">
        <f t="shared" si="30"/>
        <v>8.8324753825564025E-22</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8.8324753825564025E-22</v>
      </c>
      <c r="L449" s="298">
        <f t="shared" si="30"/>
        <v>8.8324753825564025E-22</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1.1237848185570671E-11</v>
      </c>
      <c r="L451" s="298">
        <f t="shared" si="30"/>
        <v>1.1237848185570671E-11</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8.8324753825564025E-22</v>
      </c>
      <c r="L456" s="298">
        <f t="shared" si="30"/>
        <v>8.8324753825564025E-22</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8.8324753825564025E-22</v>
      </c>
      <c r="L457" s="298">
        <f t="shared" si="30"/>
        <v>8.8324753825564025E-22</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5.0675868920732721E-5</v>
      </c>
      <c r="L468" s="298">
        <f t="shared" ref="L468:L483" si="32">IF(ISBLANK(I468),IF(ISNUMBER(J468)=FALSE,K468,J468),I468)</f>
        <v>5.0675868920732721E-5</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4.8942510635357542E-6</v>
      </c>
      <c r="L469" s="298">
        <f t="shared" si="32"/>
        <v>4.8942510635357542E-6</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0.13256851509923223</v>
      </c>
      <c r="L473" s="298">
        <f t="shared" si="32"/>
        <v>0.13256851509923223</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4.5781617857196965E-5</v>
      </c>
      <c r="L474" s="298">
        <f t="shared" si="32"/>
        <v>4.5781617857196965E-5</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0.40512432032211204</v>
      </c>
      <c r="L478" s="298">
        <f t="shared" si="32"/>
        <v>0.40512432032211204</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1.5106360484186232E-7</v>
      </c>
      <c r="L479" s="298">
        <f t="shared" si="32"/>
        <v>1.5106360484186232E-7</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0.9079917260787419</v>
      </c>
      <c r="L483" s="298">
        <f t="shared" si="32"/>
        <v>0.9079917260787419</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2.7389806983603546E-3</v>
      </c>
      <c r="L485" s="298">
        <f t="shared" ref="L485:L506" si="33">IF(ISBLANK(I485),IF(ISNUMBER(J485)=FALSE,K485,J485),I485)</f>
        <v>2.7389806983603546E-3</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7.7442854762638198E-17</v>
      </c>
      <c r="L487" s="298">
        <f t="shared" si="33"/>
        <v>7.7442854762638198E-17</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2.7389806983603546E-3</v>
      </c>
      <c r="L490" s="298">
        <f t="shared" si="33"/>
        <v>2.7389806983603546E-3</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7.7442854762638198E-17</v>
      </c>
      <c r="L492" s="298">
        <f t="shared" si="33"/>
        <v>7.7442854762638198E-17</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3.6888670072520785E-21</v>
      </c>
      <c r="L496" s="298">
        <f t="shared" si="33"/>
        <v>3.6888670072520785E-21</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4.6871333945527385E-5</v>
      </c>
      <c r="L497" s="298">
        <f t="shared" si="33"/>
        <v>4.6871333945527385E-5</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2.6505114909700093E-15</v>
      </c>
      <c r="L499" s="298">
        <f t="shared" si="33"/>
        <v>2.6505114909700093E-15</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4.6871333945527385E-5</v>
      </c>
      <c r="L501" s="298">
        <f t="shared" si="33"/>
        <v>4.6871333945527385E-5</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2.6505114909700093E-15</v>
      </c>
      <c r="L503" s="298">
        <f t="shared" si="33"/>
        <v>2.6505114909700093E-15</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8.3432920059282575E-16</v>
      </c>
      <c r="L506" s="298">
        <f t="shared" si="33"/>
        <v>8.3432920059282575E-16</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5.4744492597505979E-3</v>
      </c>
      <c r="L508" s="298">
        <f t="shared" ref="L508:L525" si="34">IF(ISBLANK(I508),IF(ISNUMBER(J508)=FALSE,K508,J508),I508)</f>
        <v>5.4744492597505979E-3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3.6888670072520785E-21</v>
      </c>
      <c r="L511" s="298">
        <f t="shared" si="34"/>
        <v>3.6888670072520785E-21</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6.8366447163753482E-3</v>
      </c>
      <c r="L512" s="298">
        <f t="shared" si="34"/>
        <v>6.8366447163753482E-3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0.51857216219024882</v>
      </c>
      <c r="L515" s="298">
        <f t="shared" si="34"/>
        <v>0.51857216219024882</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0.51855669558002604</v>
      </c>
      <c r="L516" s="298">
        <f t="shared" si="34"/>
        <v>0.51855669558002604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5.2510265498612913E-8</v>
      </c>
      <c r="L520" s="298">
        <f t="shared" si="34"/>
        <v>5.2510265498612913E-8</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1.5414099957360726E-5</v>
      </c>
      <c r="L521" s="298">
        <f t="shared" si="34"/>
        <v>1.5414099957360726E-5</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1.9002472927848792</v>
      </c>
      <c r="L522" s="298">
        <f t="shared" si="34"/>
        <v>1.9002472927848792</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1.9532490574406746E-5</v>
      </c>
      <c r="L525" s="298">
        <f t="shared" si="34"/>
        <v>1.9532490574406746E-5</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9.1970747563810074E-2</v>
      </c>
      <c r="L527" s="298">
        <f>IF(ISBLANK(I527),IF(ISNUMBER(J527)=FALSE,K527,J527),I527)</f>
        <v>9.1970747563810074E-2</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3.6888670072520785E-21</v>
      </c>
      <c r="L531" s="298">
        <f t="shared" si="35"/>
        <v>3.6888670072520785E-21</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2.7047681656040747E-2</v>
      </c>
      <c r="L532" s="298">
        <f t="shared" si="35"/>
        <v>2.7047681656040747E-2</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1.0176670346776053</v>
      </c>
      <c r="L535" s="298">
        <f t="shared" si="35"/>
        <v>1.0176670346776053</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1.0176515680673826</v>
      </c>
      <c r="L536" s="298">
        <f t="shared" si="35"/>
        <v>1.0176515680673826</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5.2510265498612913E-8</v>
      </c>
      <c r="L540" s="298">
        <f t="shared" si="35"/>
        <v>5.2510265498612913E-8</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1.5414099957360726E-5</v>
      </c>
      <c r="L541" s="298">
        <f t="shared" si="35"/>
        <v>1.5414099957360726E-5</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1.9002472927848792</v>
      </c>
      <c r="L544" s="298">
        <f t="shared" si="35"/>
        <v>1.9002472927848792</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1.9532490574406746E-5</v>
      </c>
      <c r="L545" s="298">
        <f t="shared" si="35"/>
        <v>1.9532490574406746E-5</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1999.052936069301</v>
      </c>
      <c r="L558" s="298">
        <f>IF(ISBLANK(I558),IF(ISNUMBER(J558)=FALSE,K558,J558),I558)</f>
        <v>1999.052936069301</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7.8216041740805096E-19</v>
      </c>
      <c r="L560" s="298">
        <f>IF(ISBLANK(I560),IF(ISNUMBER(J560)=FALSE,K560,J560),I560)</f>
        <v>7.8216041740805096E-19</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2.9727496338664685E-8</v>
      </c>
      <c r="L563" s="298">
        <f t="shared" si="37"/>
        <v>2.9727496338664685E-8</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5.1340531337019186E-4</v>
      </c>
      <c r="L564" s="298">
        <f t="shared" si="37"/>
        <v>5.1340531337019186E-4</v>
      </c>
      <c r="M564" s="567" t="s">
        <v>314</v>
      </c>
      <c r="N564" s="566"/>
      <c r="O564" s="604" t="s">
        <v>1672</v>
      </c>
      <c r="P564" s="566"/>
      <c r="Q564">
        <f>(L552-L565)</f>
        <v>2.4844430422934964</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2.9162673908230058E-7</v>
      </c>
      <c r="L565" s="298">
        <f t="shared" si="37"/>
        <v>2.9162673908230058E-7</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1.5500247909018642E-7</v>
      </c>
      <c r="L574" s="298">
        <f t="shared" si="37"/>
        <v>1.5500247909018642E-7</v>
      </c>
      <c r="M574" s="567" t="s">
        <v>1669</v>
      </c>
      <c r="N574" s="566"/>
      <c r="O574" s="604">
        <f>L572</f>
        <v>3.0696088001070425</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2.676951199640018E-3</v>
      </c>
      <c r="L575" s="298">
        <f t="shared" si="37"/>
        <v>2.676951199640018E-3</v>
      </c>
      <c r="M575" s="567" t="s">
        <v>314</v>
      </c>
      <c r="N575" s="566"/>
      <c r="O575" s="604">
        <f>L557</f>
        <v>4.5372667230498981E-8</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1.5205743198747288E-6</v>
      </c>
      <c r="L576" s="298">
        <f t="shared" si="37"/>
        <v>1.5205743198747288E-6</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1.2845431413683556E-6</v>
      </c>
      <c r="L583" s="298">
        <f t="shared" si="37"/>
        <v>1.2845431413683556E-6</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3.2113568900135328E-3</v>
      </c>
      <c r="L584" s="298">
        <f t="shared" si="37"/>
        <v>3.2113568900135328E-3</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237.4231315810319</v>
      </c>
      <c r="L586" s="298">
        <f t="shared" si="37"/>
        <v>237.4231315810319</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4.1132347862958045E-7</v>
      </c>
      <c r="L593" s="298">
        <f t="shared" si="37"/>
        <v>4.1132347862958045E-7</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1.0391387871624498E-7</v>
      </c>
      <c r="L594" s="298">
        <f t="shared" ref="L594:L625" si="38">IF(ISBLANK(I594),IF(ISNUMBER(J594)=FALSE,K594,J594),I594)</f>
        <v>1.0391387871624498E-7</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2.597846188552034E-4</v>
      </c>
      <c r="L595" s="298">
        <f t="shared" si="38"/>
        <v>2.597846188552034E-4</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3798.0062709434073</v>
      </c>
      <c r="L596" s="298">
        <f t="shared" si="38"/>
        <v>3798.0062709434073</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1.112242083865939E-5</v>
      </c>
      <c r="L599" s="298">
        <f t="shared" si="38"/>
        <v>1.112242083865939E-5</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2.6476926757099736E-6</v>
      </c>
      <c r="L601" s="298">
        <f t="shared" si="38"/>
        <v>2.6476926757099736E-6</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4.4128198023369513E-3</v>
      </c>
      <c r="L602" s="298">
        <f t="shared" si="38"/>
        <v>4.4128198023369513E-3</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6.7586469329796332E-7</v>
      </c>
      <c r="L608" s="298">
        <f t="shared" si="38"/>
        <v>6.7586469329796332E-7</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1.126440817564259E-3</v>
      </c>
      <c r="L609" s="298">
        <f t="shared" si="38"/>
        <v>1.126440817564259E-3</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2.6926299777362683E-7</v>
      </c>
      <c r="L620" s="298">
        <f t="shared" si="38"/>
        <v>2.6926299777362683E-7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2.6975179239081738E-7</v>
      </c>
      <c r="L621" s="298">
        <f t="shared" si="38"/>
        <v>2.6975179239081738E-7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5.6336543394225072E-7</v>
      </c>
      <c r="L622" s="298">
        <f t="shared" si="38"/>
        <v>5.6336543394225072E-7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5.8597471723220236E-14</v>
      </c>
      <c r="L623" s="298">
        <f t="shared" si="38"/>
        <v>5.8597471723220236E-14</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1.6351751378075908E-11</v>
      </c>
      <c r="L624" s="298">
        <f t="shared" si="38"/>
        <v>1.6351751378075908E-11</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9.8034731364258516E-9</v>
      </c>
      <c r="L625" s="298">
        <f t="shared" si="38"/>
        <v>9.8034731364258516E-9</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5.6604965916514042E-6</v>
      </c>
      <c r="L722" s="298">
        <f t="shared" ref="L722:L729" si="46">IF(ISBLANK(I722),IF(ISNUMBER(J722)=FALSE,K722,J722),I722)</f>
        <v>5.6604965916514042E-6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2.4259271107049963E-6</v>
      </c>
      <c r="L723" s="298">
        <f t="shared" si="46"/>
        <v>2.4259271107049963E-6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6.5037194593889846E-25</v>
      </c>
      <c r="L724" s="298">
        <f t="shared" si="46"/>
        <v>6.5037194593889846E-25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8.8143971671365395E-24</v>
      </c>
      <c r="L725" s="298">
        <f t="shared" si="46"/>
        <v>8.8143971671365395E-24</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8.0864237023482296E-6</v>
      </c>
      <c r="L726" s="298">
        <f t="shared" si="46"/>
        <v>8.0864237023482296E-6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8.4861474571216488E-6</v>
      </c>
      <c r="L727" s="298">
        <f t="shared" si="46"/>
        <v>8.4861474571216488E-6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1.3997237547717418E-6</v>
      </c>
      <c r="L728" s="298">
        <f t="shared" si="46"/>
        <v>1.3997237547717418E-6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1.0920318150034177E-14</v>
      </c>
      <c r="L738" s="298">
        <f t="shared" si="47"/>
        <v>1.0920318150034177E-14</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1.7574030173061615E-15</v>
      </c>
      <c r="L739" s="298">
        <f t="shared" si="47"/>
        <v>1.7574030173061615E-15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6.5037194593889846E-23</v>
      </c>
      <c r="L740" s="298">
        <f t="shared" si="47"/>
        <v>6.5037194593889846E-23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4.4071985835682703E-25</v>
      </c>
      <c r="L741" s="298">
        <f t="shared" si="47"/>
        <v>4.4071985835682703E-25</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6.508402137399746E-3</v>
      </c>
      <c r="L742" s="298">
        <f t="shared" si="47"/>
        <v>6.508402137399746E-3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6.8902045811906283E-6</v>
      </c>
      <c r="L743" s="298">
        <f t="shared" si="47"/>
        <v>6.8902045811906283E-6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1.6215142527866458E-11</v>
      </c>
      <c r="L749" s="298">
        <f t="shared" ref="L749:L755" si="48">IF(ISBLANK(I749),IF(ISNUMBER(J749)=FALSE,K749,J749),I749)</f>
        <v>1.6215142527866458E-11</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4.5337470818469933E-8</v>
      </c>
      <c r="L750" s="298">
        <f t="shared" si="48"/>
        <v>4.5337470818469933E-8</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2.1160266404598745E-8</v>
      </c>
      <c r="L751" s="298">
        <f t="shared" si="48"/>
        <v>2.1160266404598745E-8</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9.9928051802702038E-21</v>
      </c>
      <c r="L770" s="298">
        <f t="shared" si="49"/>
        <v>9.9928051802702038E-21</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9.9928051802702038E-21</v>
      </c>
      <c r="L771" s="298">
        <f t="shared" si="49"/>
        <v>9.9928051802702038E-21</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5.8436810570371303E-11</v>
      </c>
      <c r="L773" s="298">
        <f t="shared" si="49"/>
        <v>5.8436810570371303E-11</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9.9928051802702038E-21</v>
      </c>
      <c r="L778" s="298">
        <f t="shared" si="49"/>
        <v>9.9928051802702038E-21</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9.9928051802702038E-21</v>
      </c>
      <c r="L779" s="298">
        <f t="shared" si="49"/>
        <v>9.9928051802702038E-21</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5.3121642605596714E-5</v>
      </c>
      <c r="L790" s="298">
        <f t="shared" ref="L790:L805" si="50">IF(ISBLANK(I790),IF(ISNUMBER(J790)=FALSE,K790,J790),I790)</f>
        <v>5.3121642605596714E-5</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5.0503333995461197E-6</v>
      </c>
      <c r="L791" s="298">
        <f t="shared" si="50"/>
        <v>5.0503333995461197E-6</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0.12072957769176873</v>
      </c>
      <c r="L795" s="298">
        <f t="shared" si="50"/>
        <v>0.12072957769176873</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4.8071309206050596E-5</v>
      </c>
      <c r="L796" s="298">
        <f t="shared" si="50"/>
        <v>4.8071309206050596E-5</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0.3754245025940014</v>
      </c>
      <c r="L800" s="298">
        <f t="shared" si="50"/>
        <v>0.3754245025940014</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1.6909663202573486E-7</v>
      </c>
      <c r="L801" s="298">
        <f t="shared" si="50"/>
        <v>1.6909663202573486E-7</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0.89700835678840618</v>
      </c>
      <c r="L805" s="298">
        <f t="shared" si="50"/>
        <v>0.89700835678840618</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3.1032327732701216E-3</v>
      </c>
      <c r="L807" s="298">
        <f t="shared" ref="L807:L828" si="51">IF(ISBLANK(I807),IF(ISNUMBER(J807)=FALSE,K807,J807),I807)</f>
        <v>3.1032327732701216E-3</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8.7741839545960467E-17</v>
      </c>
      <c r="L809" s="298">
        <f t="shared" si="51"/>
        <v>8.7741839545960467E-17</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3.1032327732701216E-3</v>
      </c>
      <c r="L812" s="298">
        <f t="shared" si="51"/>
        <v>3.1032327732701216E-3</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8.7741839545960467E-17</v>
      </c>
      <c r="L814" s="298">
        <f t="shared" si="51"/>
        <v>8.7741839545960467E-17</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3.6888670072520785E-21</v>
      </c>
      <c r="L818" s="298">
        <f t="shared" si="51"/>
        <v>3.6888670072520785E-21</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5.0294024208521204E-5</v>
      </c>
      <c r="L819" s="298">
        <f t="shared" si="51"/>
        <v>5.0294024208521204E-5</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2.844060065513234E-15</v>
      </c>
      <c r="L821" s="298">
        <f t="shared" si="51"/>
        <v>2.844060065513234E-15</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5.0294024208521204E-5</v>
      </c>
      <c r="L823" s="298">
        <f t="shared" si="51"/>
        <v>5.0294024208521204E-5</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2.844060065513234E-15</v>
      </c>
      <c r="L825" s="298">
        <f t="shared" si="51"/>
        <v>2.844060065513234E-15</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8.3432920059282575E-16</v>
      </c>
      <c r="L828" s="298">
        <f t="shared" si="51"/>
        <v>8.3432920059282575E-16</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6.2029534095701319E-3</v>
      </c>
      <c r="L830" s="298">
        <f t="shared" ref="L830:L847" si="52">IF(ISBLANK(I830),IF(ISNUMBER(J830)=FALSE,K830,J830),I830)</f>
        <v>6.2029534095701319E-3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3.6888670072520785E-21</v>
      </c>
      <c r="L833" s="298">
        <f t="shared" si="52"/>
        <v>3.6888670072520785E-21</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7.4261268932244483E-3</v>
      </c>
      <c r="L834" s="298">
        <f t="shared" si="52"/>
        <v>7.4261268932244483E-3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0.56328547693791386</v>
      </c>
      <c r="L837" s="298">
        <f t="shared" si="52"/>
        <v>0.56328547693791386</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0.56327011205944566</v>
      </c>
      <c r="L838" s="298">
        <f t="shared" si="52"/>
        <v>0.56327011205944566</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5.2510265498612913E-8</v>
      </c>
      <c r="L842" s="298">
        <f t="shared" si="52"/>
        <v>5.2510265498612913E-8</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1.5312368202707912E-5</v>
      </c>
      <c r="L843" s="298">
        <f t="shared" si="52"/>
        <v>1.5312368202707912E-5</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1.6770638859141718</v>
      </c>
      <c r="L844" s="298">
        <f t="shared" si="52"/>
        <v>1.6770638859141718</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1.9532490574406746E-5</v>
      </c>
      <c r="L847" s="298">
        <f t="shared" si="52"/>
        <v>1.9532490574406746E-5</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0.10420961728077824</v>
      </c>
      <c r="L849" s="298">
        <f>IF(ISBLANK(I849),IF(ISNUMBER(J849)=FALSE,K849,J849),I849)</f>
        <v>0.10420961728077824</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3.6888670072520785E-21</v>
      </c>
      <c r="L853" s="298">
        <f t="shared" si="53"/>
        <v>3.6888670072520785E-21</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2.9379874996523999E-2</v>
      </c>
      <c r="L854" s="298">
        <f t="shared" si="53"/>
        <v>2.9379874996523999E-2</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1.1054156377292974</v>
      </c>
      <c r="L857" s="298">
        <f t="shared" si="53"/>
        <v>1.1054156377292974</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1.1054002728508292</v>
      </c>
      <c r="L858" s="298">
        <f t="shared" si="53"/>
        <v>1.1054002728508292</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5.2510265498612913E-8</v>
      </c>
      <c r="L862" s="298">
        <f t="shared" si="53"/>
        <v>5.2510265498612913E-8</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1.5312368202707912E-5</v>
      </c>
      <c r="L863" s="298">
        <f t="shared" si="53"/>
        <v>1.5312368202707912E-5</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1.6770638859141718</v>
      </c>
      <c r="L866" s="298">
        <f t="shared" si="53"/>
        <v>1.6770638859141718</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1.9532490574406746E-5</v>
      </c>
      <c r="L867" s="298">
        <f t="shared" si="53"/>
        <v>1.9532490574406746E-5</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1999.052936069301</v>
      </c>
      <c r="L880" s="298">
        <f>IF(ISBLANK(I880),IF(ISNUMBER(J880)=FALSE,K880,J880),I880)</f>
        <v>1999.052936069301</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7.8216041740805096E-19</v>
      </c>
      <c r="L882" s="298">
        <f>IF(ISBLANK(I882),IF(ISNUMBER(J882)=FALSE,K882,J882),I882)</f>
        <v>7.8216041740805096E-19</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2.9727496338664685E-8</v>
      </c>
      <c r="L885" s="298">
        <f t="shared" si="55"/>
        <v>2.9727496338664685E-8</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7.7528471808717533E-4</v>
      </c>
      <c r="L886" s="298">
        <f t="shared" si="55"/>
        <v>7.7528471808717533E-4</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2.9162673908230058E-7</v>
      </c>
      <c r="L887" s="298">
        <f t="shared" si="55"/>
        <v>2.9162673908230058E-7</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1.5500247909018642E-7</v>
      </c>
      <c r="L896" s="298">
        <f t="shared" si="55"/>
        <v>1.5500247909018642E-7</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4.0424200500283475E-3</v>
      </c>
      <c r="L897" s="298">
        <f t="shared" si="55"/>
        <v>4.0424200500283475E-3</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1.5205743198747288E-6</v>
      </c>
      <c r="L898" s="298">
        <f t="shared" si="55"/>
        <v>1.5205743198747288E-6</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1.0259121804918607E-6</v>
      </c>
      <c r="L905" s="298">
        <f t="shared" si="55"/>
        <v>1.0259121804918607E-6</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3.4197062423940213E-3</v>
      </c>
      <c r="L906" s="298">
        <f t="shared" si="55"/>
        <v>3.4197062423940213E-3</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218.44771763615589</v>
      </c>
      <c r="L908" s="298">
        <f t="shared" si="55"/>
        <v>218.44771763615589</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9.3734858037962063E-7</v>
      </c>
      <c r="L915" s="298">
        <f t="shared" si="55"/>
        <v>9.3734858037962063E-7</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8.5054245009915821E-8</v>
      </c>
      <c r="L916" s="298">
        <f t="shared" ref="L916:L947" si="56">IF(ISBLANK(I916),IF(ISNUMBER(J916)=FALSE,K916,J916),I916)</f>
        <v>8.5054245009915821E-8</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2.8351406497880772E-4</v>
      </c>
      <c r="L917" s="298">
        <f t="shared" si="56"/>
        <v>2.8351406497880772E-4</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3472.1811464630064</v>
      </c>
      <c r="L918" s="298">
        <f t="shared" si="56"/>
        <v>3472.1811464630064</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2.5276966592851793E-5</v>
      </c>
      <c r="L921" s="298">
        <f t="shared" si="56"/>
        <v>2.5276966592851793E-5</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3.1664993981010153E-6</v>
      </c>
      <c r="L923" s="298">
        <f t="shared" si="56"/>
        <v>3.1664993981010153E-6</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4.5235692116445654E-3</v>
      </c>
      <c r="L924" s="298">
        <f t="shared" si="56"/>
        <v>4.5235692116445654E-3</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8.3114317201534345E-7</v>
      </c>
      <c r="L930" s="298">
        <f t="shared" si="56"/>
        <v>8.3114317201534345E-7</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1.1873470323891314E-3</v>
      </c>
      <c r="L931" s="298">
        <f t="shared" si="56"/>
        <v>1.1873470323891314E-3</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2.2724619105093776E-7</v>
      </c>
      <c r="L942" s="298">
        <f t="shared" si="56"/>
        <v>2.2724619105093776E-7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2.2773498566812833E-7</v>
      </c>
      <c r="L943" s="298">
        <f t="shared" si="56"/>
        <v>2.2773498566812833E-7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5.2134862721956162E-7</v>
      </c>
      <c r="L944" s="298">
        <f t="shared" si="56"/>
        <v>5.2134862721956162E-7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5.8597471723220236E-14</v>
      </c>
      <c r="L945" s="298">
        <f t="shared" si="56"/>
        <v>5.8597471723220236E-14</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1.6351751378075911E-11</v>
      </c>
      <c r="L946" s="298">
        <f t="shared" si="56"/>
        <v>1.6351751378075911E-11</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9.8034731364258533E-9</v>
      </c>
      <c r="L947" s="298">
        <f t="shared" si="56"/>
        <v>9.8034731364258533E-9</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6.6944902535023516</v>
      </c>
      <c r="F5" s="355">
        <v>0</v>
      </c>
      <c r="G5" s="355">
        <v>0</v>
      </c>
      <c r="H5" s="355">
        <v>0</v>
      </c>
      <c r="I5" s="355">
        <v>0</v>
      </c>
      <c r="J5" s="355">
        <v>0</v>
      </c>
      <c r="K5" s="182">
        <f>E.w0RD</f>
        <v>0</v>
      </c>
      <c r="L5" s="182">
        <f>E.w0RS</f>
        <v>0</v>
      </c>
      <c r="M5" s="355">
        <v>0</v>
      </c>
      <c r="N5" s="355">
        <v>0</v>
      </c>
      <c r="O5" s="182">
        <f>E.w1RD</f>
        <v>0</v>
      </c>
      <c r="P5" s="182">
        <f>E.w1RS</f>
        <v>6.6944902535023516</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6.6944902535023516</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-1.6286326217721011E-5</v>
      </c>
      <c r="E9" s="358">
        <v>0</v>
      </c>
      <c r="F9" s="358">
        <v>0</v>
      </c>
      <c r="G9" s="363">
        <v>0</v>
      </c>
      <c r="H9" s="358">
        <v>0</v>
      </c>
      <c r="I9" s="358">
        <v>0</v>
      </c>
      <c r="J9" s="358">
        <v>0</v>
      </c>
      <c r="K9" s="180">
        <f>k.w0RD.aRG</f>
        <v>7.3594070844008963E-28</v>
      </c>
      <c r="L9" s="180">
        <v>0</v>
      </c>
      <c r="M9" s="180">
        <v>0</v>
      </c>
      <c r="N9" s="180">
        <v>0</v>
      </c>
      <c r="O9" s="393">
        <f>k.w1RD.aRG</f>
        <v>2.4495847556581632E-26</v>
      </c>
      <c r="P9" s="393">
        <v>0</v>
      </c>
      <c r="Q9" s="393">
        <v>0</v>
      </c>
      <c r="R9" s="393">
        <v>0</v>
      </c>
      <c r="S9" s="180">
        <f>k.w2RD.aRG</f>
        <v>7.3560977339452445E-27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9.9730623667322376E-27</v>
      </c>
      <c r="AJ9" s="180">
        <v>0</v>
      </c>
      <c r="AK9" s="180">
        <v>0</v>
      </c>
      <c r="AL9" s="180">
        <v>0</v>
      </c>
      <c r="AM9" s="180">
        <f>k.s2RD.aRG</f>
        <v>4.5382842551637416E-27</v>
      </c>
      <c r="AN9" s="180">
        <v>0</v>
      </c>
      <c r="AO9" s="180">
        <v>0</v>
      </c>
      <c r="AP9" s="180">
        <v>0</v>
      </c>
      <c r="AQ9" s="180">
        <f>k.s3RD.aRG</f>
        <v>9.9730623667322376E-27</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-6.624165611817706E-5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5.2255041078331695E-5</v>
      </c>
      <c r="F11" s="189">
        <f>-SUM(F$9:F10,F12:F$163)-k.aRA</f>
        <v>-9.901901000857943E-6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1.6244980782655142E-7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1.7089774649089481E-8</v>
      </c>
      <c r="E16" s="185">
        <v>0</v>
      </c>
      <c r="F16" s="185">
        <v>0</v>
      </c>
      <c r="G16" s="184">
        <v>0</v>
      </c>
      <c r="H16" s="185">
        <v>0</v>
      </c>
      <c r="I16" s="185">
        <v>0</v>
      </c>
      <c r="J16" s="185">
        <v>0</v>
      </c>
      <c r="K16" s="368">
        <f>-k.w0RD-SUM(K9:K15,K17:K163)</f>
        <v>-2.4766469713049685E-9</v>
      </c>
      <c r="L16" s="369">
        <f>kdis.w0S.w0D</f>
        <v>1E-13</v>
      </c>
      <c r="M16" s="369">
        <f>kdis.w0A.w0D</f>
        <v>1E-13</v>
      </c>
      <c r="N16" s="365">
        <f>kdis.w0P.w0D</f>
        <v>1E-13</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1.5363717163615614E-8</v>
      </c>
      <c r="F17" s="185">
        <v>0</v>
      </c>
      <c r="G17" s="184">
        <v>0</v>
      </c>
      <c r="H17" s="185">
        <f>k.cwRS.w0RS</f>
        <v>1.8416810158380553E-7</v>
      </c>
      <c r="I17" s="185">
        <v>0</v>
      </c>
      <c r="J17" s="185">
        <v>0</v>
      </c>
      <c r="K17" s="370">
        <v>0</v>
      </c>
      <c r="L17" s="189">
        <f>-SUM(L$9:L16,L18:L$163)-k.w0RS</f>
        <v>-5.9416101725676231E-5</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3.1190868658211615E-9</v>
      </c>
      <c r="G18" s="184">
        <v>0</v>
      </c>
      <c r="H18" s="185">
        <v>0</v>
      </c>
      <c r="I18" s="185">
        <f>k.cwRA.w0RA</f>
        <v>1.8416810158380553E-7</v>
      </c>
      <c r="J18" s="185">
        <v>0</v>
      </c>
      <c r="K18" s="370">
        <v>0</v>
      </c>
      <c r="L18" s="184">
        <f>k.w0RS.w0RA</f>
        <v>5.9327173676198873E-5</v>
      </c>
      <c r="M18" s="189">
        <f>-SUM(M$9:M17,M19:M$163)-k.w0RA</f>
        <v>-2.88791281531488E-9</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8.6528931279242802E-8</v>
      </c>
      <c r="M19" s="367">
        <v>0</v>
      </c>
      <c r="N19" s="189">
        <f>-SUM(N$9:N18,N20:N$163)-k.w0RP</f>
        <v>-2.9650155436674818E-7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1.8798752113998428E-7</v>
      </c>
      <c r="E20" s="185">
        <v>0</v>
      </c>
      <c r="F20" s="185">
        <v>0</v>
      </c>
      <c r="G20" s="184">
        <v>0</v>
      </c>
      <c r="H20" s="337">
        <v>0</v>
      </c>
      <c r="I20" s="337">
        <v>0</v>
      </c>
      <c r="J20" s="337">
        <v>0</v>
      </c>
      <c r="K20" s="337">
        <f>k.w0R.w1R</f>
        <v>2.3972602739726025E-9</v>
      </c>
      <c r="L20" s="337">
        <v>0</v>
      </c>
      <c r="M20" s="337">
        <v>0</v>
      </c>
      <c r="N20" s="337">
        <v>0</v>
      </c>
      <c r="O20" s="371">
        <f>-k.w1RD-SUM(O9:O19,O21:O163)</f>
        <v>-9.8629845986977862E-8</v>
      </c>
      <c r="P20" s="372">
        <f>kdis.w1S.w1D</f>
        <v>1E-13</v>
      </c>
      <c r="Q20" s="372">
        <f>kdis.w1A.w1D</f>
        <v>1E-13</v>
      </c>
      <c r="R20" s="373">
        <f>kdis.w1P.w1D</f>
        <v>1E-13</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1.6900088879977177E-7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-6.6143906708103882E-5</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3.4309955524032778E-8</v>
      </c>
      <c r="G22" s="184">
        <v>0</v>
      </c>
      <c r="H22" s="337">
        <v>0</v>
      </c>
      <c r="I22" s="337">
        <f>k.cwRA.w1RA</f>
        <v>2.0258491174218609E-6</v>
      </c>
      <c r="J22" s="337">
        <v>0</v>
      </c>
      <c r="K22" s="337">
        <v>0</v>
      </c>
      <c r="L22" s="337">
        <v>0</v>
      </c>
      <c r="M22" s="337">
        <f>k.w0R.w1R</f>
        <v>2.3972602739726025E-9</v>
      </c>
      <c r="N22" s="337">
        <v>0</v>
      </c>
      <c r="O22" s="374">
        <v>0</v>
      </c>
      <c r="P22" s="338">
        <f>k.w1RS.w1RA</f>
        <v>5.967487523623992E-5</v>
      </c>
      <c r="Q22" s="189">
        <f>-k.w1RA-SUM(Q$9:Q21,Q23:Q$163)</f>
        <v>-8.8996102104518411E-8</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6.3963285236658089E-6</v>
      </c>
      <c r="Q23" s="377">
        <v>0</v>
      </c>
      <c r="R23" s="189">
        <f>-k.w1RP-SUM(R$9:R22,R24:R$163)</f>
        <v>-9.8761174871522938E-6</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2.99072925564851E-8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-1.3747189948131567E-6</v>
      </c>
      <c r="T24" s="369">
        <f>kdis.w2S.w2D</f>
        <v>1E-13</v>
      </c>
      <c r="U24" s="369">
        <f>kdis.w2A.w2D</f>
        <v>1E-13</v>
      </c>
      <c r="V24" s="365">
        <f>kdis.w2P.w2D</f>
        <v>1E-13</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1.9533027402937933E-8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-3.018331756831485E-3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5.0710555599854488E-9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2.967939145446494E-3</v>
      </c>
      <c r="U26" s="440">
        <f>-k.w2RA-SUM(U$9:U25,U27:U$163)</f>
        <v>-1.3747600774682155E-6</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4.9022739253694927E-5</v>
      </c>
      <c r="U27" s="367">
        <v>0</v>
      </c>
      <c r="V27" s="440">
        <f>-k.w2RP-SUM(V$9:V26,V28:V$163)</f>
        <v>-4.3108964929825481E-6</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1E-13</v>
      </c>
      <c r="Y28" s="369">
        <f>kdis.sd0A.sd0D</f>
        <v>1E-13</v>
      </c>
      <c r="Z28" s="365">
        <f>kdis.sd0P.sd0D</f>
        <v>1E-13</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1.7579241516966072E-12</v>
      </c>
      <c r="M29" s="185">
        <v>0</v>
      </c>
      <c r="N29" s="185">
        <v>0</v>
      </c>
      <c r="O29" s="337">
        <v>0</v>
      </c>
      <c r="P29" s="337">
        <v>0</v>
      </c>
      <c r="Q29" s="337">
        <v>0</v>
      </c>
      <c r="R29" s="337">
        <v>0</v>
      </c>
      <c r="S29" s="184">
        <v>0</v>
      </c>
      <c r="T29" s="184">
        <v>0</v>
      </c>
      <c r="U29" s="184">
        <v>0</v>
      </c>
      <c r="V29" s="184">
        <v>0</v>
      </c>
      <c r="W29" s="370">
        <v>0</v>
      </c>
      <c r="X29" s="189">
        <f>-k.sd0RS-SUM(X$9:X28,X30:X$163)</f>
        <v>-2.6285141901665387E-4</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4.9055254134227732E-10</v>
      </c>
      <c r="N30" s="185">
        <v>0</v>
      </c>
      <c r="O30" s="337">
        <v>0</v>
      </c>
      <c r="P30" s="337">
        <v>0</v>
      </c>
      <c r="Q30" s="337">
        <v>0</v>
      </c>
      <c r="R30" s="337">
        <v>0</v>
      </c>
      <c r="S30" s="184">
        <v>0</v>
      </c>
      <c r="T30" s="184">
        <v>0</v>
      </c>
      <c r="U30" s="184">
        <v>0</v>
      </c>
      <c r="V30" s="184">
        <v>0</v>
      </c>
      <c r="W30" s="370">
        <v>0</v>
      </c>
      <c r="X30" s="184">
        <f>k.sd0RS.sd0RA</f>
        <v>1.1864732307845752E-4</v>
      </c>
      <c r="Y30" s="189">
        <f>-k.sd0RA-SUM(Y$9:Y29,Y31:Y$163)</f>
        <v>-2.8954682563842399E-9</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2.9410419409277556E-7</v>
      </c>
      <c r="O31" s="337">
        <v>0</v>
      </c>
      <c r="P31" s="337">
        <v>0</v>
      </c>
      <c r="Q31" s="337">
        <v>0</v>
      </c>
      <c r="R31" s="337">
        <v>0</v>
      </c>
      <c r="S31" s="184">
        <v>0</v>
      </c>
      <c r="T31" s="184">
        <v>0</v>
      </c>
      <c r="U31" s="184">
        <v>0</v>
      </c>
      <c r="V31" s="184">
        <v>0</v>
      </c>
      <c r="W31" s="366">
        <v>0</v>
      </c>
      <c r="X31" s="367">
        <f>k.sd0RS.sd0RP</f>
        <v>1.4420120046993993E-4</v>
      </c>
      <c r="Y31" s="367">
        <v>0</v>
      </c>
      <c r="Z31" s="189">
        <f>-k.sd0RP-SUM(Z$9:Z30,Z32:Z$163)</f>
        <v>-2.8954682563842399E-9</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-6.4946530912390679E-8</v>
      </c>
      <c r="AB32" s="369">
        <f>kdis.sd1S.sd1D</f>
        <v>1E-13</v>
      </c>
      <c r="AC32" s="369">
        <f>kdis.sd1A.sd1D</f>
        <v>1E-13</v>
      </c>
      <c r="AD32" s="365">
        <f>kdis.sd1P.sd1D</f>
        <v>1E-13</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5.8597471723220234E-11</v>
      </c>
      <c r="Q33" s="185">
        <v>0</v>
      </c>
      <c r="R33" s="184">
        <v>0</v>
      </c>
      <c r="S33" s="190">
        <v>0</v>
      </c>
      <c r="T33" s="190">
        <v>0</v>
      </c>
      <c r="U33" s="190">
        <v>0</v>
      </c>
      <c r="V33" s="190">
        <v>0</v>
      </c>
      <c r="W33" s="190">
        <v>0</v>
      </c>
      <c r="X33" s="190">
        <v>0</v>
      </c>
      <c r="Y33" s="190">
        <v>0</v>
      </c>
      <c r="Z33" s="190">
        <v>0</v>
      </c>
      <c r="AA33" s="370">
        <v>0</v>
      </c>
      <c r="AB33" s="189">
        <f>-k.sd1RS-SUM(AB$9:AB32,AB34:AB$163)</f>
        <v>-2.6287793406755915E-4</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1.6351751378075909E-8</v>
      </c>
      <c r="R34" s="184">
        <v>0</v>
      </c>
      <c r="S34" s="190">
        <v>0</v>
      </c>
      <c r="T34" s="190">
        <v>0</v>
      </c>
      <c r="U34" s="190">
        <v>0</v>
      </c>
      <c r="V34" s="190">
        <v>0</v>
      </c>
      <c r="W34" s="190">
        <v>0</v>
      </c>
      <c r="X34" s="190">
        <v>0</v>
      </c>
      <c r="Y34" s="190">
        <v>0</v>
      </c>
      <c r="Z34" s="190">
        <v>0</v>
      </c>
      <c r="AA34" s="370">
        <v>0</v>
      </c>
      <c r="AB34" s="184">
        <f>k.sd1RS.sd1RA</f>
        <v>1.1864732307845752E-4</v>
      </c>
      <c r="AC34" s="189">
        <f>-k.sd1RA-SUM(AC$9:AC33,AC35:AC$163)</f>
        <v>-2.9410519161676659E-8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9.8034731364258519E-6</v>
      </c>
      <c r="S35" s="190">
        <v>0</v>
      </c>
      <c r="T35" s="190">
        <v>0</v>
      </c>
      <c r="U35" s="190">
        <v>0</v>
      </c>
      <c r="V35" s="190">
        <v>0</v>
      </c>
      <c r="W35" s="190">
        <v>0</v>
      </c>
      <c r="X35" s="190">
        <v>0</v>
      </c>
      <c r="Y35" s="190">
        <v>0</v>
      </c>
      <c r="Z35" s="190">
        <v>0</v>
      </c>
      <c r="AA35" s="366">
        <v>0</v>
      </c>
      <c r="AB35" s="367">
        <f>k.sd1RS.sd1RP</f>
        <v>1.4420120046993993E-4</v>
      </c>
      <c r="AC35" s="367">
        <v>0</v>
      </c>
      <c r="AD35" s="189">
        <f>-k.sd1RP-SUM(AD$9:AD34,AD36:AD$163)</f>
        <v>-2.9410519161676659E-8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-4.5339584804606246E-8</v>
      </c>
      <c r="AF36" s="369">
        <f>kdis.sd2S.sd2D</f>
        <v>1E-13</v>
      </c>
      <c r="AG36" s="369">
        <f>kdis.sd2A.sd2D</f>
        <v>1E-13</v>
      </c>
      <c r="AH36" s="365">
        <f>kdis.sd2P.sd2D</f>
        <v>1E-13</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1.7579241516966073E-11</v>
      </c>
      <c r="U37" s="185">
        <v>0</v>
      </c>
      <c r="V37" s="184">
        <v>0</v>
      </c>
      <c r="W37" s="185">
        <v>0</v>
      </c>
      <c r="X37" s="185">
        <v>0</v>
      </c>
      <c r="Y37" s="185">
        <v>0</v>
      </c>
      <c r="Z37" s="185">
        <v>0</v>
      </c>
      <c r="AA37" s="190">
        <v>0</v>
      </c>
      <c r="AB37" s="190">
        <v>0</v>
      </c>
      <c r="AC37" s="190">
        <v>0</v>
      </c>
      <c r="AD37" s="190">
        <v>0</v>
      </c>
      <c r="AE37" s="370">
        <v>0</v>
      </c>
      <c r="AF37" s="189">
        <f>-k.sd2RS-SUM(AF$9:AF36,AF38:AF$163)</f>
        <v>-1.3142435980992927E-2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4.9055254134227726E-9</v>
      </c>
      <c r="V38" s="184">
        <v>0</v>
      </c>
      <c r="W38" s="185">
        <v>0</v>
      </c>
      <c r="X38" s="185">
        <v>0</v>
      </c>
      <c r="Y38" s="185">
        <v>0</v>
      </c>
      <c r="Z38" s="185">
        <v>0</v>
      </c>
      <c r="AA38" s="190">
        <v>0</v>
      </c>
      <c r="AB38" s="190">
        <v>0</v>
      </c>
      <c r="AC38" s="190">
        <v>0</v>
      </c>
      <c r="AD38" s="190">
        <v>0</v>
      </c>
      <c r="AE38" s="370">
        <v>0</v>
      </c>
      <c r="AF38" s="184">
        <f>k.sd2RS.sd2RA</f>
        <v>5.9323661539228767E-3</v>
      </c>
      <c r="AG38" s="189">
        <f>-k.sd2RA-SUM(AG$9:AG37,AG39:AG$163)</f>
        <v>-9.8035730538922206E-9</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2.9410419409277556E-6</v>
      </c>
      <c r="W39" s="185">
        <v>0</v>
      </c>
      <c r="X39" s="185">
        <v>0</v>
      </c>
      <c r="Y39" s="185">
        <v>0</v>
      </c>
      <c r="Z39" s="185">
        <v>0</v>
      </c>
      <c r="AA39" s="190">
        <v>0</v>
      </c>
      <c r="AB39" s="190">
        <v>0</v>
      </c>
      <c r="AC39" s="190">
        <v>0</v>
      </c>
      <c r="AD39" s="190">
        <v>0</v>
      </c>
      <c r="AE39" s="366">
        <v>0</v>
      </c>
      <c r="AF39" s="367">
        <f>k.sd2RS.sd2RP</f>
        <v>7.2100600234969968E-3</v>
      </c>
      <c r="AG39" s="367">
        <v>0</v>
      </c>
      <c r="AH39" s="189">
        <f>-k.sd2RP-SUM(AH$9:AH38,AH40:AH$163)</f>
        <v>-9.8035730538922206E-9</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1.8456956621010431E-6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-4.7256077912194086E-9</v>
      </c>
      <c r="AJ40" s="369">
        <f>kdis.s1S.s1D</f>
        <v>1E-13</v>
      </c>
      <c r="AK40" s="369">
        <f>kdis.s1A.s1D</f>
        <v>1E-13</v>
      </c>
      <c r="AL40" s="365">
        <f>kdis.s1P.s1D</f>
        <v>1E-13</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8.9902911146974618E-7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-0.12818893388987199</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7.3498691768682326E-8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9.9663751385904359E-2</v>
      </c>
      <c r="AK42" s="189">
        <f>-k.s1RA-SUM(AK$9:AK41,AK43:AK$163)</f>
        <v>-1.4200233351680571E-7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2.8525040501634097E-2</v>
      </c>
      <c r="AK43" s="367">
        <v>0</v>
      </c>
      <c r="AL43" s="189">
        <f>-k.s1RP-SUM(AL$9:AL42,AL44:AL$163)</f>
        <v>-2.4277074605563145E-11</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4.1015459157800947E-6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-2.1504078332580645E-9</v>
      </c>
      <c r="AN44" s="369">
        <f>kdis.s2S.s2D</f>
        <v>1E-13</v>
      </c>
      <c r="AO44" s="369">
        <f>kdis.s2A.s2D</f>
        <v>1E-13</v>
      </c>
      <c r="AP44" s="369">
        <f>kdis.s2P.s2D</f>
        <v>1E-13</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1.9978424699327687E-6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-0.12818885650245473</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1.6333042615262735E-7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9.9663751385904359E-2</v>
      </c>
      <c r="AO46" s="189">
        <f>-k.s2RA-SUM(AO$9:AO45,AO47:AO$163)</f>
        <v>-6.4614916252141538E-8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2.8525040501634097E-2</v>
      </c>
      <c r="AO47" s="367">
        <v>0</v>
      </c>
      <c r="AP47" s="189">
        <f>-k.s2RP-SUM(AP$9:AP46,AP48:AP$163)</f>
        <v>-1.1101880163143698E-11</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6.8359098596334912E-7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-4.7256077912194086E-9</v>
      </c>
      <c r="AR48" s="369">
        <f>kdis.s3S.s3D</f>
        <v>1E-13</v>
      </c>
      <c r="AS48" s="369">
        <f>kdis.s3A.s3D</f>
        <v>1E-13</v>
      </c>
      <c r="AT48" s="369">
        <f>kdis.s3P.s3D</f>
        <v>1E-13</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3.3297374498879489E-7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-0.12818893388987199</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2.7221737692104566E-8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9.9663751385904359E-2</v>
      </c>
      <c r="AS50" s="189">
        <f>-k.s3RA-SUM(AS$9:AS49,AS51:AS$163)</f>
        <v>-1.4200233351680571E-7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2.8525040501634097E-2</v>
      </c>
      <c r="AS51" s="367">
        <v>0</v>
      </c>
      <c r="AT51" s="189">
        <f>-k.s3RP-SUM(AT$9:AT50,AT52:AT$163)</f>
        <v>-2.4277074605563145E-11</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-9.4796640568496868E-6</v>
      </c>
      <c r="AV52" s="369">
        <v>0</v>
      </c>
      <c r="AW52" s="369">
        <v>0</v>
      </c>
      <c r="AX52" s="365">
        <v>0</v>
      </c>
      <c r="AY52" s="184">
        <v>0</v>
      </c>
      <c r="AZ52" s="184">
        <v>0</v>
      </c>
      <c r="BA52" s="184">
        <v>0</v>
      </c>
      <c r="BB52" s="185">
        <f>k.w0C.aC</f>
        <v>7.3594070844008963E-28</v>
      </c>
      <c r="BC52" s="185">
        <v>0</v>
      </c>
      <c r="BD52" s="185">
        <v>0</v>
      </c>
      <c r="BE52" s="185">
        <v>0</v>
      </c>
      <c r="BF52" s="185">
        <f>k.w1C.aC</f>
        <v>2.4495847556581632E-26</v>
      </c>
      <c r="BG52" s="185">
        <v>0</v>
      </c>
      <c r="BH52" s="185">
        <v>0</v>
      </c>
      <c r="BI52" s="185">
        <v>0</v>
      </c>
      <c r="BJ52" s="185">
        <f>k.w2C.aC</f>
        <v>3.6780488669726225E-28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9.9730623667322376E-27</v>
      </c>
      <c r="CA52" s="185">
        <v>0</v>
      </c>
      <c r="CB52" s="185">
        <v>0</v>
      </c>
      <c r="CC52" s="185">
        <v>0</v>
      </c>
      <c r="CD52" s="185">
        <f>k.s2C.aC</f>
        <v>4.5382842551637416E-27</v>
      </c>
      <c r="CE52" s="185">
        <v>0</v>
      </c>
      <c r="CF52" s="185">
        <v>0</v>
      </c>
      <c r="CG52" s="185">
        <v>0</v>
      </c>
      <c r="CH52" s="185">
        <f>k.s3C.aC</f>
        <v>9.9730623667322376E-27</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-5.9043293718819256E-5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5.2255041078331695E-5</v>
      </c>
      <c r="AW54" s="189">
        <f>-k.aCA-SUM(AW$9:AW53,AW55:AW$163)</f>
        <v>-2.6056182041397448E-6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1.6244980782655142E-7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9.4383161237186709E-9</v>
      </c>
      <c r="AV59" s="185">
        <v>0</v>
      </c>
      <c r="AW59" s="185">
        <v>0</v>
      </c>
      <c r="AX59" s="185">
        <v>0</v>
      </c>
      <c r="AY59" s="185">
        <v>0</v>
      </c>
      <c r="AZ59" s="185">
        <v>0</v>
      </c>
      <c r="BA59" s="185">
        <v>0</v>
      </c>
      <c r="BB59" s="378">
        <f>-k.w0C-SUM(BB9:BB55,BB60:BB163)</f>
        <v>-2.4766469713049689E-9</v>
      </c>
      <c r="BC59" s="379">
        <f>kdis.w0S.w0D</f>
        <v>1E-13</v>
      </c>
      <c r="BD59" s="379">
        <f>kdis.w0A.w0D</f>
        <v>1E-13</v>
      </c>
      <c r="BE59" s="380">
        <f>kdis.w0P.w0D</f>
        <v>1E-13</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7.4715791837793808E-9</v>
      </c>
      <c r="AW60" s="185">
        <v>0</v>
      </c>
      <c r="AX60" s="184">
        <v>0</v>
      </c>
      <c r="AY60" s="185">
        <f>k.cwCS.w0CS</f>
        <v>8.9563387522417847E-8</v>
      </c>
      <c r="AZ60" s="185">
        <v>0</v>
      </c>
      <c r="BA60" s="184">
        <v>0</v>
      </c>
      <c r="BB60" s="370">
        <v>0</v>
      </c>
      <c r="BC60" s="419">
        <f>-k.w0CS-SUM(BC$9:BC59,BC61:BC$163)</f>
        <v>-5.9416101725676231E-5</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1.5182337394261403E-9</v>
      </c>
      <c r="AX61" s="184">
        <v>0</v>
      </c>
      <c r="AY61" s="185">
        <v>0</v>
      </c>
      <c r="AZ61" s="185">
        <f>k.cwCA.w0CA</f>
        <v>8.9563387522417847E-8</v>
      </c>
      <c r="BA61" s="184">
        <v>0</v>
      </c>
      <c r="BB61" s="370">
        <v>0</v>
      </c>
      <c r="BC61" s="185">
        <f>k.w0CS.w0CA</f>
        <v>5.9327173676198873E-5</v>
      </c>
      <c r="BD61" s="419">
        <f>-k.w0CA-SUM(BD$9:BD60,BD62:BD$163)</f>
        <v>-2.8879128153148804E-9</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8.6528931279242802E-8</v>
      </c>
      <c r="BD62" s="362">
        <v>0</v>
      </c>
      <c r="BE62" s="419">
        <f>-k.w0CP-SUM(BE$9:BE61,BE63:BE$163)</f>
        <v>-2.9650155436674823E-7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1.0382147736090536E-7</v>
      </c>
      <c r="AV63" s="185">
        <v>0</v>
      </c>
      <c r="AW63" s="185">
        <v>0</v>
      </c>
      <c r="AX63" s="185">
        <v>0</v>
      </c>
      <c r="AY63" s="185">
        <v>0</v>
      </c>
      <c r="AZ63" s="185">
        <v>0</v>
      </c>
      <c r="BA63" s="185">
        <v>0</v>
      </c>
      <c r="BB63" s="185">
        <f>k.w0C.w1C</f>
        <v>2.3972602739726029E-9</v>
      </c>
      <c r="BC63" s="185">
        <v>0</v>
      </c>
      <c r="BD63" s="185">
        <v>0</v>
      </c>
      <c r="BE63" s="185">
        <v>0</v>
      </c>
      <c r="BF63" s="368">
        <f>-k.w1C-SUM(BF9:BF62,BF64:BF163)</f>
        <v>-9.8629845986977875E-8</v>
      </c>
      <c r="BG63" s="379">
        <f>kdis.w1S.w1D</f>
        <v>1E-13</v>
      </c>
      <c r="BH63" s="379">
        <f>kdis.w1A.w1D</f>
        <v>1E-13</v>
      </c>
      <c r="BI63" s="380">
        <f>kdis.w1P.w1D</f>
        <v>1E-13</v>
      </c>
      <c r="BJ63" s="190">
        <v>0</v>
      </c>
      <c r="BK63" s="190">
        <v>0</v>
      </c>
      <c r="BL63" s="190">
        <v>0</v>
      </c>
      <c r="BM63" s="190">
        <v>0</v>
      </c>
      <c r="BN63" s="190">
        <v>0</v>
      </c>
      <c r="BO63" s="190">
        <v>0</v>
      </c>
      <c r="BP63" s="190">
        <v>0</v>
      </c>
      <c r="BQ63" s="190">
        <v>0</v>
      </c>
      <c r="BR63" s="185">
        <f>k.sd1C.w1C</f>
        <v>6.2072302517233058E-8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8.2187371021573177E-8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-6.6143906708103882E-5</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1.6700571133687542E-8</v>
      </c>
      <c r="AX65" s="184">
        <v>0</v>
      </c>
      <c r="AY65" s="185">
        <v>0</v>
      </c>
      <c r="AZ65" s="185">
        <f>k.cwCA.w1CA</f>
        <v>9.8519726274659594E-7</v>
      </c>
      <c r="BA65" s="184">
        <v>0</v>
      </c>
      <c r="BB65" s="185">
        <v>0</v>
      </c>
      <c r="BC65" s="185">
        <v>0</v>
      </c>
      <c r="BD65" s="185">
        <f>k.w0C.w1C</f>
        <v>2.3972602739726029E-9</v>
      </c>
      <c r="BE65" s="185">
        <v>0</v>
      </c>
      <c r="BF65" s="370">
        <v>0</v>
      </c>
      <c r="BG65" s="185">
        <f>k.w1CS.w1CA</f>
        <v>5.967487523623992E-5</v>
      </c>
      <c r="BH65" s="189">
        <f>-k.w1CA-SUM(BH$9:BH64,BH66:BH$163)</f>
        <v>-8.8996102104518424E-8</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6.3963285236658089E-6</v>
      </c>
      <c r="BH66" s="362">
        <v>0</v>
      </c>
      <c r="BI66" s="189">
        <f>-k.w1CP-SUM(BI$9:BI65,BI67:BI$163)</f>
        <v>-9.8761174871522938E-6</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4.0217953178548807E-6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-3.1951174651978129E-8</v>
      </c>
      <c r="BK67" s="379">
        <f>kdis.w2S.w2D</f>
        <v>1E-13</v>
      </c>
      <c r="BL67" s="379">
        <f>kdis.w2A.w2D</f>
        <v>1E-13</v>
      </c>
      <c r="BM67" s="380">
        <f>kdis.w2P.w2D</f>
        <v>1E-13</v>
      </c>
      <c r="BN67" s="185">
        <v>0</v>
      </c>
      <c r="BO67" s="185">
        <v>0</v>
      </c>
      <c r="BP67" s="185">
        <v>0</v>
      </c>
      <c r="BQ67" s="185">
        <v>0</v>
      </c>
      <c r="BR67" s="190">
        <v>0</v>
      </c>
      <c r="BS67" s="190">
        <v>0</v>
      </c>
      <c r="BT67" s="190">
        <v>0</v>
      </c>
      <c r="BU67" s="190">
        <v>0</v>
      </c>
      <c r="BV67" s="185">
        <f>k.sd2C.w2C</f>
        <v>4.442625147126885E-8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2.3129718174011259E-6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-3.0169935936266656E-3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6.0106907466361124E-7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2.967939145446494E-3</v>
      </c>
      <c r="BL69" s="189">
        <f>-k.w2CA-SUM(BL$9:BL68,BL70:BL$163)</f>
        <v>-3.1953323784727217E-8</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4.9022739253694927E-5</v>
      </c>
      <c r="BL70" s="362">
        <v>0</v>
      </c>
      <c r="BM70" s="189">
        <f>-k.w2CP-SUM(BM$9:BM69,BM71:BM$163)</f>
        <v>-1.7876014456044386E-7</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7.9386697328305655E-11</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1E-13</v>
      </c>
      <c r="BP71" s="379">
        <f>kdis.sd0A.sd0D</f>
        <v>1E-13</v>
      </c>
      <c r="BQ71" s="380">
        <f>kdis.sd0P.sd0D</f>
        <v>1E-13</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1.7579241516966074E-12</v>
      </c>
      <c r="BD72" s="185">
        <v>0</v>
      </c>
      <c r="BE72" s="185">
        <v>0</v>
      </c>
      <c r="BF72" s="185">
        <v>0</v>
      </c>
      <c r="BG72" s="185">
        <v>0</v>
      </c>
      <c r="BH72" s="185">
        <v>0</v>
      </c>
      <c r="BI72" s="185">
        <v>0</v>
      </c>
      <c r="BJ72" s="185">
        <v>0</v>
      </c>
      <c r="BK72" s="185">
        <v>0</v>
      </c>
      <c r="BL72" s="185">
        <v>0</v>
      </c>
      <c r="BM72" s="184">
        <v>0</v>
      </c>
      <c r="BN72" s="370">
        <v>0</v>
      </c>
      <c r="BO72" s="189">
        <f>-k.sd0CS-SUM(BO$9:BO71,BO73:BO$163)</f>
        <v>-2.6285139787679264E-4</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4.9055254134227732E-10</v>
      </c>
      <c r="BE73" s="185">
        <v>0</v>
      </c>
      <c r="BF73" s="185">
        <v>0</v>
      </c>
      <c r="BG73" s="185">
        <v>0</v>
      </c>
      <c r="BH73" s="185">
        <v>0</v>
      </c>
      <c r="BI73" s="185">
        <v>0</v>
      </c>
      <c r="BJ73" s="185">
        <v>0</v>
      </c>
      <c r="BK73" s="185">
        <v>0</v>
      </c>
      <c r="BL73" s="185">
        <v>0</v>
      </c>
      <c r="BM73" s="184">
        <v>0</v>
      </c>
      <c r="BN73" s="370">
        <v>0</v>
      </c>
      <c r="BO73" s="185">
        <f>k.sd0CS.sd0CA</f>
        <v>1.1864732307845752E-4</v>
      </c>
      <c r="BP73" s="189">
        <f>-k.sd0CA-SUM(BP$9:BP72,BP74:BP$163)</f>
        <v>-2.8743283951535594E-9</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2.9410419409277561E-7</v>
      </c>
      <c r="BF74" s="185">
        <v>0</v>
      </c>
      <c r="BG74" s="185">
        <v>0</v>
      </c>
      <c r="BH74" s="185">
        <v>0</v>
      </c>
      <c r="BI74" s="185">
        <v>0</v>
      </c>
      <c r="BJ74" s="185">
        <v>0</v>
      </c>
      <c r="BK74" s="185">
        <v>0</v>
      </c>
      <c r="BL74" s="185">
        <v>0</v>
      </c>
      <c r="BM74" s="184">
        <v>0</v>
      </c>
      <c r="BN74" s="366">
        <v>0</v>
      </c>
      <c r="BO74" s="362">
        <f>k.sd0CS.sd0CP</f>
        <v>1.4420120046993993E-4</v>
      </c>
      <c r="BP74" s="367">
        <v>0</v>
      </c>
      <c r="BQ74" s="189">
        <f>-k.sd0CP-SUM(BQ$9:BQ73,BQ75:BQ$163)</f>
        <v>-2.8743283951535594E-9</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2.5985595260531316E-8</v>
      </c>
      <c r="BG75" s="185">
        <v>0</v>
      </c>
      <c r="BH75" s="185">
        <v>0</v>
      </c>
      <c r="BI75" s="185">
        <v>0</v>
      </c>
      <c r="BJ75" s="190">
        <v>0</v>
      </c>
      <c r="BK75" s="190">
        <v>0</v>
      </c>
      <c r="BL75" s="185">
        <v>0</v>
      </c>
      <c r="BM75" s="185">
        <v>0</v>
      </c>
      <c r="BN75" s="185">
        <v>0</v>
      </c>
      <c r="BO75" s="185">
        <v>0</v>
      </c>
      <c r="BP75" s="185">
        <v>0</v>
      </c>
      <c r="BQ75" s="185">
        <v>0</v>
      </c>
      <c r="BR75" s="368">
        <f>-k.sd1C-SUM(BR9:BR70,BR76:BR163)</f>
        <v>-6.4946530912390679E-8</v>
      </c>
      <c r="BS75" s="379">
        <f>kdis.sd1S.sd1D</f>
        <v>1E-13</v>
      </c>
      <c r="BT75" s="379">
        <f>kdis.sd1A.sd1D</f>
        <v>1E-13</v>
      </c>
      <c r="BU75" s="379">
        <f>kdis.sd1P.sd1D</f>
        <v>1E-13</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5.8597471723220234E-11</v>
      </c>
      <c r="BH76" s="185">
        <v>0</v>
      </c>
      <c r="BI76" s="185">
        <v>0</v>
      </c>
      <c r="BJ76" s="190">
        <v>0</v>
      </c>
      <c r="BK76" s="190">
        <v>0</v>
      </c>
      <c r="BL76" s="190">
        <v>0</v>
      </c>
      <c r="BM76" s="185">
        <v>0</v>
      </c>
      <c r="BN76" s="185">
        <v>0</v>
      </c>
      <c r="BO76" s="185">
        <v>0</v>
      </c>
      <c r="BP76" s="185">
        <v>0</v>
      </c>
      <c r="BQ76" s="185">
        <v>0</v>
      </c>
      <c r="BR76" s="381">
        <v>0</v>
      </c>
      <c r="BS76" s="189">
        <f>-k.sd1CS-SUM(BS$9:BS75,BS77:BS$163)</f>
        <v>-2.6287793406755915E-4</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1.6351751378075909E-8</v>
      </c>
      <c r="BI77" s="185">
        <v>0</v>
      </c>
      <c r="BJ77" s="190">
        <v>0</v>
      </c>
      <c r="BK77" s="190">
        <v>0</v>
      </c>
      <c r="BL77" s="190">
        <v>0</v>
      </c>
      <c r="BM77" s="190">
        <v>0</v>
      </c>
      <c r="BN77" s="190">
        <v>0</v>
      </c>
      <c r="BO77" s="190">
        <v>0</v>
      </c>
      <c r="BP77" s="190">
        <v>0</v>
      </c>
      <c r="BQ77" s="190">
        <v>0</v>
      </c>
      <c r="BR77" s="381">
        <v>0</v>
      </c>
      <c r="BS77" s="185">
        <f>k.sd1CS.sd1CA</f>
        <v>1.1864732307845752E-4</v>
      </c>
      <c r="BT77" s="189">
        <f>-k.sd1CA-SUM(BT$9:BT76,BT78:BT$163)</f>
        <v>-2.9410519161676656E-8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9.8034731364258519E-6</v>
      </c>
      <c r="BJ78" s="190">
        <v>0</v>
      </c>
      <c r="BK78" s="190">
        <v>0</v>
      </c>
      <c r="BL78" s="190">
        <v>0</v>
      </c>
      <c r="BM78" s="190">
        <v>0</v>
      </c>
      <c r="BN78" s="190">
        <v>0</v>
      </c>
      <c r="BO78" s="190">
        <v>0</v>
      </c>
      <c r="BP78" s="190">
        <v>0</v>
      </c>
      <c r="BQ78" s="190">
        <v>0</v>
      </c>
      <c r="BR78" s="361">
        <v>0</v>
      </c>
      <c r="BS78" s="362">
        <f>k.sd1CS.sd1CP</f>
        <v>1.4420120046993993E-4</v>
      </c>
      <c r="BT78" s="362">
        <v>0</v>
      </c>
      <c r="BU78" s="189">
        <f>-k.sd1CP-SUM(BU$9:BU77,BU79:BU$163)</f>
        <v>-2.9410519161676656E-8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2.4322713791799687E-10</v>
      </c>
      <c r="BK79" s="185">
        <v>0</v>
      </c>
      <c r="BL79" s="185">
        <v>0</v>
      </c>
      <c r="BM79" s="185">
        <v>0</v>
      </c>
      <c r="BN79" s="185">
        <v>0</v>
      </c>
      <c r="BO79" s="185">
        <v>0</v>
      </c>
      <c r="BP79" s="185">
        <v>0</v>
      </c>
      <c r="BQ79" s="185">
        <v>0</v>
      </c>
      <c r="BR79" s="190">
        <v>0</v>
      </c>
      <c r="BS79" s="190">
        <v>0</v>
      </c>
      <c r="BT79" s="185">
        <v>0</v>
      </c>
      <c r="BU79" s="185">
        <v>0</v>
      </c>
      <c r="BV79" s="368">
        <f>-k.sd2C-SUM(BV9:BV78,BV80:BV163)</f>
        <v>-4.5339584804606246E-8</v>
      </c>
      <c r="BW79" s="379">
        <f>kdis.sd2S.sd2D</f>
        <v>1E-13</v>
      </c>
      <c r="BX79" s="379">
        <f>kdis.sd2A.sd2D</f>
        <v>1E-13</v>
      </c>
      <c r="BY79" s="379">
        <f>kdis.sd2P.sd2D</f>
        <v>1E-13</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8.7896207584830351E-13</v>
      </c>
      <c r="BL80" s="185">
        <v>0</v>
      </c>
      <c r="BM80" s="185">
        <v>0</v>
      </c>
      <c r="BN80" s="185">
        <v>0</v>
      </c>
      <c r="BO80" s="185">
        <v>0</v>
      </c>
      <c r="BP80" s="185">
        <v>0</v>
      </c>
      <c r="BQ80" s="185">
        <v>0</v>
      </c>
      <c r="BR80" s="190">
        <v>0</v>
      </c>
      <c r="BS80" s="190">
        <v>0</v>
      </c>
      <c r="BT80" s="190">
        <v>0</v>
      </c>
      <c r="BU80" s="185">
        <v>0</v>
      </c>
      <c r="BV80" s="381">
        <v>0</v>
      </c>
      <c r="BW80" s="189">
        <f>-k.sd2CS-SUM(BW$9:BW79,BW81:BW$163)</f>
        <v>-1.3142435980992927E-2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2.4527627067113866E-10</v>
      </c>
      <c r="BM81" s="185">
        <v>0</v>
      </c>
      <c r="BN81" s="185">
        <v>0</v>
      </c>
      <c r="BO81" s="185">
        <v>0</v>
      </c>
      <c r="BP81" s="185">
        <v>0</v>
      </c>
      <c r="BQ81" s="185">
        <v>0</v>
      </c>
      <c r="BR81" s="190">
        <v>0</v>
      </c>
      <c r="BS81" s="190">
        <v>0</v>
      </c>
      <c r="BT81" s="190">
        <v>0</v>
      </c>
      <c r="BU81" s="190">
        <v>0</v>
      </c>
      <c r="BV81" s="381">
        <v>0</v>
      </c>
      <c r="BW81" s="185">
        <f>k.sd2CS.sd2CA</f>
        <v>5.9323661539228767E-3</v>
      </c>
      <c r="BX81" s="189">
        <f>-k.sd2CA-SUM(BX$9:BX80,BX82:BX$163)</f>
        <v>-9.8035730538922223E-9</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1.4705209704638778E-7</v>
      </c>
      <c r="BN82" s="185">
        <v>0</v>
      </c>
      <c r="BO82" s="185">
        <v>0</v>
      </c>
      <c r="BP82" s="185">
        <v>0</v>
      </c>
      <c r="BQ82" s="185">
        <v>0</v>
      </c>
      <c r="BR82" s="190">
        <v>0</v>
      </c>
      <c r="BS82" s="190">
        <v>0</v>
      </c>
      <c r="BT82" s="190">
        <v>0</v>
      </c>
      <c r="BU82" s="190">
        <v>0</v>
      </c>
      <c r="BV82" s="361">
        <v>0</v>
      </c>
      <c r="BW82" s="362">
        <f>k.sd2CS.sd2CP</f>
        <v>7.2100600234969968E-3</v>
      </c>
      <c r="BX82" s="362">
        <v>0</v>
      </c>
      <c r="BY82" s="189">
        <f>-k.sd2CP-SUM(BY$9:BY81,BY83:BY$163)</f>
        <v>-9.8035730538922223E-9</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1.0193381413613145E-6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-4.7256077912194086E-9</v>
      </c>
      <c r="CA83" s="379">
        <f>kdis.s1S.s1D</f>
        <v>1E-13</v>
      </c>
      <c r="CB83" s="379">
        <f>kdis.s1A.s1D</f>
        <v>1E-13</v>
      </c>
      <c r="CC83" s="379">
        <f>kdis.s1P.s1D</f>
        <v>1E-13</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4.3720976657762452E-7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-0.12818893388987199</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3.5892478762201666E-8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9.9663751385904359E-2</v>
      </c>
      <c r="CB85" s="189">
        <f>-k.s1CA-SUM(CB$9:CB84,CB86:CB$163)</f>
        <v>-1.4200233351680568E-7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2.8525040501634097E-2</v>
      </c>
      <c r="CB86" s="362">
        <v>0</v>
      </c>
      <c r="CC86" s="189">
        <f>-k.s1CP-SUM(CC$9:CC85,CC87:CC$163)</f>
        <v>-2.4277074605563149E-11</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2.2651958696918096E-6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-2.1504078332580645E-9</v>
      </c>
      <c r="CE87" s="379">
        <f>kdis.s2S.s2D</f>
        <v>1E-13</v>
      </c>
      <c r="CF87" s="379">
        <f>kdis.s2A.s2D</f>
        <v>1E-13</v>
      </c>
      <c r="CG87" s="379">
        <f>kdis.s2P.s2D</f>
        <v>1E-13</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9.7157725906138779E-7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-0.12818885650245473</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7.9761063916003689E-8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9.9663751385904359E-2</v>
      </c>
      <c r="CF89" s="189">
        <f>-k.s2CA-SUM(CF$9:CF88,CF90:CF$163)</f>
        <v>-6.4614916252141538E-8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2.8525040501634097E-2</v>
      </c>
      <c r="CF90" s="362">
        <v>0</v>
      </c>
      <c r="CG90" s="189">
        <f>-k.s2CP-SUM(CG$9:CG89,CG91:CG$163)</f>
        <v>-1.1101880163143697E-11</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3.775326449486349E-7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-4.7256077912194086E-9</v>
      </c>
      <c r="CI91" s="379">
        <f>kdis.s3S.s3D</f>
        <v>1E-13</v>
      </c>
      <c r="CJ91" s="379">
        <f>kdis.s3A.s3D</f>
        <v>1E-13</v>
      </c>
      <c r="CK91" s="379">
        <f>kdis.s3P.s3D</f>
        <v>1E-13</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1.6192954317689794E-7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-0.12818893388987199</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1.3293510652667279E-8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9.9663751385904359E-2</v>
      </c>
      <c r="CJ93" s="189">
        <f>-k.s3CA-SUM(CJ$9:CJ92,CJ94:CJ$163)</f>
        <v>-1.4200233351680568E-7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2.8525040501634097E-2</v>
      </c>
      <c r="CJ94" s="362">
        <v>0</v>
      </c>
      <c r="CK94" s="189">
        <f>-k.s3CP-SUM(CK$9:CK93,CK95:CK$163)</f>
        <v>-2.4277074605563149E-11</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-9.0734065584471297E-6</v>
      </c>
      <c r="CM95" s="379">
        <v>0</v>
      </c>
      <c r="CN95" s="379">
        <v>0</v>
      </c>
      <c r="CO95" s="380">
        <v>0</v>
      </c>
      <c r="CP95" s="185">
        <v>0</v>
      </c>
      <c r="CQ95" s="185">
        <v>0</v>
      </c>
      <c r="CR95" s="185">
        <v>0</v>
      </c>
      <c r="CS95" s="185">
        <f>k.w2M.aM</f>
        <v>7.356097733945245E-28</v>
      </c>
      <c r="CT95" s="185">
        <v>0</v>
      </c>
      <c r="CU95" s="185">
        <v>0</v>
      </c>
      <c r="CV95" s="185">
        <v>0</v>
      </c>
      <c r="CW95" s="190">
        <v>0</v>
      </c>
      <c r="CX95" s="190">
        <v>0</v>
      </c>
      <c r="CY95" s="190">
        <v>0</v>
      </c>
      <c r="CZ95" s="190">
        <v>0</v>
      </c>
      <c r="DA95" s="190">
        <v>0</v>
      </c>
      <c r="DB95" s="190">
        <v>0</v>
      </c>
      <c r="DC95" s="190">
        <v>0</v>
      </c>
      <c r="DD95" s="190">
        <v>0</v>
      </c>
      <c r="DE95" s="185">
        <f>k.sM.aM</f>
        <v>9.9730623667322376E-27</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-5.8466594087899554E-5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5.2255041078331695E-5</v>
      </c>
      <c r="CN97" s="189">
        <f>-k.aMA-SUM(CN$9:CN96,CN98:CN$163)</f>
        <v>-2.059703810741305E-6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1.6245156257802971E-7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3.9542347198872658E-6</v>
      </c>
      <c r="CM102" s="185">
        <v>0</v>
      </c>
      <c r="CN102" s="185">
        <v>0</v>
      </c>
      <c r="CO102" s="185">
        <v>0</v>
      </c>
      <c r="CP102" s="185">
        <v>0</v>
      </c>
      <c r="CQ102" s="185">
        <v>0</v>
      </c>
      <c r="CR102" s="185">
        <v>0</v>
      </c>
      <c r="CS102" s="368">
        <f>-k.w2M-SUM(CS9:CS98,CS103:CS163)</f>
        <v>-2.9385441060537107E-7</v>
      </c>
      <c r="CT102" s="379">
        <f>kdis.w2S.w2D</f>
        <v>1E-13</v>
      </c>
      <c r="CU102" s="379">
        <f>kdis.w2A.w2D</f>
        <v>1E-13</v>
      </c>
      <c r="CV102" s="379">
        <f>kdis.w2P.w2D</f>
        <v>1E-13</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2.2420985504462281E-6</v>
      </c>
      <c r="CN103" s="185">
        <v>0</v>
      </c>
      <c r="CO103" s="185">
        <v>0</v>
      </c>
      <c r="CP103" s="185">
        <f>k.cwMS.w2MS</f>
        <v>3.699476841282254E-5</v>
      </c>
      <c r="CQ103" s="185">
        <v>0</v>
      </c>
      <c r="CR103" s="185">
        <v>0</v>
      </c>
      <c r="CS103" s="381">
        <v>0</v>
      </c>
      <c r="CT103" s="189">
        <f>-k.w2MS-SUM(CT$9:CT102,CT104:CT$163)</f>
        <v>-3.0172557409687182E-3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5.8265132799394667E-7</v>
      </c>
      <c r="CO104" s="185">
        <v>0</v>
      </c>
      <c r="CP104" s="185">
        <v>0</v>
      </c>
      <c r="CQ104" s="185">
        <f>k.cwMA.w2MA</f>
        <v>3.699476841282254E-5</v>
      </c>
      <c r="CR104" s="185">
        <v>0</v>
      </c>
      <c r="CS104" s="381">
        <v>0</v>
      </c>
      <c r="CT104" s="185">
        <f>k.w2MS.w2MA</f>
        <v>2.967939145446494E-3</v>
      </c>
      <c r="CU104" s="189">
        <f>-k.w2MA-SUM(CU$9:CU103,CU105:CU$163)</f>
        <v>-2.9434506314670925E-7</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4.9022739253694927E-5</v>
      </c>
      <c r="CU105" s="362">
        <v>0</v>
      </c>
      <c r="CV105" s="189">
        <f>-k.w2MP-SUM(CV$9:CV104,CV106:CV$163)</f>
        <v>-5.8795870469814249E-7</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-9.6090826289495662E-9</v>
      </c>
      <c r="CX106" s="379">
        <f>kdis.w3S.w3D</f>
        <v>1E-13</v>
      </c>
      <c r="CY106" s="379">
        <f>kdis.w3A.w3D</f>
        <v>1E-13</v>
      </c>
      <c r="CZ106" s="379">
        <f>kdis.w3P.w3D</f>
        <v>1E-13</v>
      </c>
      <c r="DA106" s="184">
        <f>k.sdM.w3M</f>
        <v>4.5336600870287525E-8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2.4911362543927156E-7</v>
      </c>
      <c r="CU107" s="184">
        <v>0</v>
      </c>
      <c r="CV107" s="185">
        <v>0</v>
      </c>
      <c r="CW107" s="381">
        <v>0</v>
      </c>
      <c r="CX107" s="189">
        <f>-k.w3MS-SUM(CX$9:CX106,CX108:CX$163)</f>
        <v>-3.0169714777262728E-3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2.4960242005646211E-7</v>
      </c>
      <c r="CV108" s="184">
        <v>0</v>
      </c>
      <c r="CW108" s="381">
        <v>0</v>
      </c>
      <c r="CX108" s="185">
        <f>k.w3MS.w3MA</f>
        <v>2.967939145446494E-3</v>
      </c>
      <c r="CY108" s="189">
        <f>-k.w3MA-SUM(CY$9:CY107,CY109:CY$163)</f>
        <v>-9.6093192377957196E-9</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5.432160616078954E-7</v>
      </c>
      <c r="CW109" s="361">
        <v>0</v>
      </c>
      <c r="CX109" s="362">
        <f>k.w3MS.w3MP</f>
        <v>4.9022739253694927E-5</v>
      </c>
      <c r="CY109" s="362">
        <v>0</v>
      </c>
      <c r="CZ109" s="189">
        <f>-k.w3MP-SUM(CZ$9:CZ108,CZ110:CZ$163)</f>
        <v>-1.9396440622843495E-8</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1.6215142527866458E-11</v>
      </c>
      <c r="CX110" s="190">
        <v>0</v>
      </c>
      <c r="CY110" s="185">
        <v>0</v>
      </c>
      <c r="CZ110" s="185">
        <v>0</v>
      </c>
      <c r="DA110" s="368">
        <f>-k.sdM-SUM(DA9:DA109,DA111:DA163)</f>
        <v>-4.5339584804606239E-8</v>
      </c>
      <c r="DB110" s="379">
        <f>kdis.sd2S.sd2D</f>
        <v>1E-13</v>
      </c>
      <c r="DC110" s="379">
        <f>kdis.sd2A.sd2D</f>
        <v>1E-13</v>
      </c>
      <c r="DD110" s="379">
        <f>kdis.sd2P.sd2D</f>
        <v>1E-13</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5.8597471723220236E-14</v>
      </c>
      <c r="CY111" s="190">
        <v>0</v>
      </c>
      <c r="CZ111" s="185">
        <v>0</v>
      </c>
      <c r="DA111" s="381">
        <v>0</v>
      </c>
      <c r="DB111" s="189">
        <f>-k.sdMS-SUM(DB$9:DB110,DB112:DB$163)</f>
        <v>-1.3142435980992928E-2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1.6351751378075911E-11</v>
      </c>
      <c r="CZ112" s="190">
        <v>0</v>
      </c>
      <c r="DA112" s="381">
        <v>0</v>
      </c>
      <c r="DB112" s="185">
        <f>k.sdMS.sdMA</f>
        <v>5.9323661539228767E-3</v>
      </c>
      <c r="DC112" s="189">
        <f>-k.sdMA-SUM(DC$9:DC111,DC113:DC$163)</f>
        <v>-9.803573053892219E-9</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9.8034731364258516E-9</v>
      </c>
      <c r="DA113" s="361">
        <v>0</v>
      </c>
      <c r="DB113" s="362">
        <f>k.sdMS.sdMP</f>
        <v>7.2100600234969968E-3</v>
      </c>
      <c r="DC113" s="362">
        <v>0</v>
      </c>
      <c r="DD113" s="189">
        <f>-k.sdMP-SUM(DD$9:DD112,DD114:DD$163)</f>
        <v>-9.803573053892219E-9</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3.9542347198861104E-6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-4.7256077912194086E-9</v>
      </c>
      <c r="DF114" s="379">
        <f>kdis.s1S.s1D</f>
        <v>1E-13</v>
      </c>
      <c r="DG114" s="379">
        <f>kdis.s1A.s1D</f>
        <v>1E-13</v>
      </c>
      <c r="DH114" s="380">
        <f>kdis.s1P.s1D</f>
        <v>1E-13</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1.672152571139643E-6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-0.12818893388987199</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1.3727438230988073E-7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9.9663751385904359E-2</v>
      </c>
      <c r="DG116" s="189">
        <f>-k.sMA-SUM(DG$9:DG115,DG117:DG$163)</f>
        <v>-1.4200233351680571E-7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2.8525040501634097E-2</v>
      </c>
      <c r="DG117" s="362">
        <v>0</v>
      </c>
      <c r="DH117" s="189">
        <f>-k.sMP-SUM(DH$9:DH116,DH118:DH$163)</f>
        <v>-2.4277074605563149E-11</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1.6382953303749381E-33</v>
      </c>
      <c r="DQ118" s="185">
        <v>0</v>
      </c>
      <c r="DR118" s="185">
        <v>0</v>
      </c>
      <c r="DS118" s="185">
        <v>0</v>
      </c>
      <c r="DT118" s="190">
        <v>0</v>
      </c>
      <c r="DU118" s="190">
        <v>0</v>
      </c>
      <c r="DV118" s="190">
        <v>0</v>
      </c>
      <c r="DW118" s="190">
        <v>0</v>
      </c>
      <c r="DX118" s="190">
        <v>0</v>
      </c>
      <c r="DY118" s="190">
        <v>0</v>
      </c>
      <c r="DZ118" s="190">
        <v>0</v>
      </c>
      <c r="EA118" s="190">
        <v>0</v>
      </c>
      <c r="EB118" s="185">
        <f>k.sA.aA</f>
        <v>2.2211283594555704E-32</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-5.6087204617380311E-5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5.0675868920732721E-5</v>
      </c>
      <c r="DK120" s="189">
        <f>-k.aAA-SUM(DK$9:DK119,DK121:DK$163)</f>
        <v>-1.581549042697938E-6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1.5106360484186232E-7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-2.6926123984947601E-7</v>
      </c>
      <c r="DQ125" s="379">
        <f>kdis.w2S.w2D</f>
        <v>1E-13</v>
      </c>
      <c r="DR125" s="379">
        <f>kdis.w2A.w2D</f>
        <v>1E-13</v>
      </c>
      <c r="DS125" s="379">
        <f>kdis.w2P.w2D</f>
        <v>1E-13</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2.6476926757099736E-6</v>
      </c>
      <c r="DK126" s="185">
        <v>0</v>
      </c>
      <c r="DL126" s="185">
        <v>0</v>
      </c>
      <c r="DM126" s="185">
        <f>k.cwAS.w2AS</f>
        <v>1.5854900748352518E-5</v>
      </c>
      <c r="DN126" s="185">
        <v>0</v>
      </c>
      <c r="DO126" s="185">
        <v>0</v>
      </c>
      <c r="DP126" s="381">
        <v>0</v>
      </c>
      <c r="DQ126" s="189">
        <f>-k.w2AS-SUM(DQ$9:DQ125,DQ127:DQ$163)</f>
        <v>-2.7861212954036554E-3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6.7586469329796332E-7</v>
      </c>
      <c r="DL127" s="185">
        <v>0</v>
      </c>
      <c r="DM127" s="185">
        <v>0</v>
      </c>
      <c r="DN127" s="185">
        <f>k.cwAA.w2AA</f>
        <v>1.5854900748352518E-5</v>
      </c>
      <c r="DO127" s="185">
        <v>0</v>
      </c>
      <c r="DP127" s="381">
        <v>0</v>
      </c>
      <c r="DQ127" s="185">
        <f>k.w2AS.w2AA</f>
        <v>2.7389806983603546E-3</v>
      </c>
      <c r="DR127" s="189">
        <f>-k.w2AA-SUM(DR$9:DR126,DR128:DR$163)</f>
        <v>-2.6975189239081737E-7</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4.6871333945527385E-5</v>
      </c>
      <c r="DR128" s="362">
        <v>0</v>
      </c>
      <c r="DS128" s="189">
        <f>-k.w2AP-SUM(DS$9:DS127,DS129:DS$163)</f>
        <v>-5.6336553394225077E-7</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-1.0952374117903411E-8</v>
      </c>
      <c r="DU129" s="379">
        <f>kdis.w3S.w3D</f>
        <v>1E-13</v>
      </c>
      <c r="DV129" s="379">
        <f>kdis.w3A.w3D</f>
        <v>1E-13</v>
      </c>
      <c r="DW129" s="379">
        <f>kdis.w3P.w3D</f>
        <v>1E-13</v>
      </c>
      <c r="DX129" s="184">
        <f>k.sdA.w3A</f>
        <v>4.5337470818469933E-8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2.6926299777362683E-7</v>
      </c>
      <c r="DR130" s="184">
        <v>0</v>
      </c>
      <c r="DS130" s="185">
        <v>0</v>
      </c>
      <c r="DT130" s="381">
        <v>0</v>
      </c>
      <c r="DU130" s="189">
        <f>-k.w3AS-SUM(DU$9:DU129,DU131:DU$163)</f>
        <v>-2.7858629686234549E-3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2.6975179239081738E-7</v>
      </c>
      <c r="DS131" s="185">
        <v>0</v>
      </c>
      <c r="DT131" s="381">
        <v>0</v>
      </c>
      <c r="DU131" s="185">
        <f>k.w3AS.w3AA</f>
        <v>2.7389806983603546E-3</v>
      </c>
      <c r="DV131" s="189">
        <f>-k.w3AA-SUM(DV$9:DV130,DV132:DV$163)</f>
        <v>-1.0952610726752739E-8</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5.6336543394225072E-7</v>
      </c>
      <c r="DT132" s="361">
        <v>0</v>
      </c>
      <c r="DU132" s="362">
        <f>k.w3AS.w3AP</f>
        <v>4.6871333945527385E-5</v>
      </c>
      <c r="DV132" s="362">
        <v>0</v>
      </c>
      <c r="DW132" s="189">
        <f>-k.w3AP-SUM(DW$9:DW131,DW133:DW$163)</f>
        <v>-2.0739732111800514E-8</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1.6215142527866458E-11</v>
      </c>
      <c r="DU133" s="184">
        <v>0</v>
      </c>
      <c r="DV133" s="185">
        <v>0</v>
      </c>
      <c r="DW133" s="185">
        <v>0</v>
      </c>
      <c r="DX133" s="368">
        <f>-k.sdA-SUM(DX9:DX132,DX134:DX163)</f>
        <v>-4.5339584804603069E-8</v>
      </c>
      <c r="DY133" s="379">
        <f>kdis.sd2S.sd2D</f>
        <v>1E-13</v>
      </c>
      <c r="DZ133" s="379">
        <f>kdis.sd2A.sd2D</f>
        <v>1E-13</v>
      </c>
      <c r="EA133" s="379">
        <f>kdis.sd2P.sd2D</f>
        <v>1E-13</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5.8597471723220236E-14</v>
      </c>
      <c r="DV134" s="185">
        <v>0</v>
      </c>
      <c r="DW134" s="185">
        <v>0</v>
      </c>
      <c r="DX134" s="381">
        <v>0</v>
      </c>
      <c r="DY134" s="189">
        <f>-k.sdAS-SUM(DY$9:DY133,DY135:DY$163)</f>
        <v>-1.2311103779699E-2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1.6351751378075908E-11</v>
      </c>
      <c r="DW135" s="185">
        <v>0</v>
      </c>
      <c r="DX135" s="381">
        <v>0</v>
      </c>
      <c r="DY135" s="185">
        <f>k.sdAS.sdAA</f>
        <v>5.4744492597505979E-3</v>
      </c>
      <c r="DZ135" s="189">
        <f>-k.sdAA-SUM(DZ$9:DZ134,DZ136:DZ$163)</f>
        <v>-9.8035730538922206E-9</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9.8034731364258516E-9</v>
      </c>
      <c r="DX136" s="361">
        <v>0</v>
      </c>
      <c r="DY136" s="362">
        <f>k.sdAS.sdAP</f>
        <v>6.8366447163753482E-3</v>
      </c>
      <c r="DZ136" s="362">
        <v>0</v>
      </c>
      <c r="EA136" s="189">
        <f>-k.sdAP-SUM(EA$9:EA135,EA137:EA$163)</f>
        <v>-9.8035730538922206E-9</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-1.7032594733956555E-9</v>
      </c>
      <c r="EC137" s="379">
        <f>kdis.s1S.s1D</f>
        <v>1E-13</v>
      </c>
      <c r="ED137" s="379">
        <f>kdis.s1A.s1D</f>
        <v>1E-13</v>
      </c>
      <c r="EE137" s="380">
        <f>kdis.s1P.s1D</f>
        <v>1E-13</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1.2845431413683556E-6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-0.11901847994726514</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1.0391387871624498E-7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9.1970747563810074E-2</v>
      </c>
      <c r="ED139" s="189">
        <f>-k.sAA-SUM(ED$9:ED138,ED140:ED$163)</f>
        <v>-5.0727414318624362E-8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2.7047681656040747E-2</v>
      </c>
      <c r="ED140" s="362">
        <v>0</v>
      </c>
      <c r="EE140" s="189">
        <f>-k.sAP-SUM(EE$9:EE139,EE141:EE$163)</f>
        <v>-2.4277074605563149E-11</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-8.4865137830034768E-6</v>
      </c>
      <c r="EG141" s="379">
        <v>0</v>
      </c>
      <c r="EH141" s="379">
        <v>0</v>
      </c>
      <c r="EI141" s="380">
        <v>0</v>
      </c>
      <c r="EJ141" s="185">
        <v>0</v>
      </c>
      <c r="EK141" s="185">
        <v>0</v>
      </c>
      <c r="EL141" s="185">
        <v>0</v>
      </c>
      <c r="EM141" s="185">
        <f>k.w2T.aT</f>
        <v>6.5037194593889846E-25</v>
      </c>
      <c r="EN141" s="185">
        <v>0</v>
      </c>
      <c r="EO141" s="185">
        <v>0</v>
      </c>
      <c r="EP141" s="185">
        <v>0</v>
      </c>
      <c r="EQ141" s="190">
        <v>0</v>
      </c>
      <c r="ER141" s="190">
        <v>0</v>
      </c>
      <c r="ES141" s="190">
        <v>0</v>
      </c>
      <c r="ET141" s="190">
        <v>0</v>
      </c>
      <c r="EU141" s="190">
        <v>0</v>
      </c>
      <c r="EV141" s="190">
        <v>0</v>
      </c>
      <c r="EW141" s="190">
        <v>0</v>
      </c>
      <c r="EX141" s="190">
        <v>0</v>
      </c>
      <c r="EY141" s="185">
        <f>k.sT.aT</f>
        <v>8.8143971671365395E-24</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-5.9133379496695398E-5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5.3121642605596714E-5</v>
      </c>
      <c r="EH143" s="189">
        <f>-k.aTA-SUM(EH$9:EH142,EH144:EH$163)</f>
        <v>-1.5485102496821469E-6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1.6909663202573486E-7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5.6604965916514042E-6</v>
      </c>
      <c r="EG148" s="185">
        <v>0</v>
      </c>
      <c r="EH148" s="185">
        <v>0</v>
      </c>
      <c r="EI148" s="185">
        <v>0</v>
      </c>
      <c r="EJ148" s="185">
        <v>0</v>
      </c>
      <c r="EK148" s="185">
        <v>0</v>
      </c>
      <c r="EL148" s="185">
        <v>0</v>
      </c>
      <c r="EM148" s="368">
        <f>-k.w2T-SUM(EM9:EM144,EM149:EM163)</f>
        <v>-2.4405115581587169E-7</v>
      </c>
      <c r="EN148" s="379">
        <f>kdis.w2S.w2D</f>
        <v>1E-13</v>
      </c>
      <c r="EO148" s="379">
        <f>kdis.w2A.w2D</f>
        <v>1E-13</v>
      </c>
      <c r="EP148" s="379">
        <f>kdis.w2P.w2D</f>
        <v>1E-13</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3.1664993981010153E-6</v>
      </c>
      <c r="EH149" s="185">
        <v>0</v>
      </c>
      <c r="EI149" s="185">
        <v>0</v>
      </c>
      <c r="EJ149" s="185">
        <f>k.cwTS.w2TS</f>
        <v>9.6186397873338595E-5</v>
      </c>
      <c r="EK149" s="185">
        <v>0</v>
      </c>
      <c r="EL149" s="185">
        <v>0</v>
      </c>
      <c r="EM149" s="381">
        <v>0</v>
      </c>
      <c r="EN149" s="189">
        <f>-k.w2TS-SUM(EN$9:EN148,EN150:EN$163)</f>
        <v>-3.1537708504923829E-3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8.3114317201534345E-7</v>
      </c>
      <c r="EI150" s="185">
        <v>0</v>
      </c>
      <c r="EJ150" s="185">
        <v>0</v>
      </c>
      <c r="EK150" s="185">
        <f>k.cwTA.w2TA</f>
        <v>9.6186397873338595E-5</v>
      </c>
      <c r="EL150" s="185">
        <v>0</v>
      </c>
      <c r="EM150" s="381">
        <v>0</v>
      </c>
      <c r="EN150" s="185">
        <f>k.w2TS.w2TA</f>
        <v>3.1032327732701216E-3</v>
      </c>
      <c r="EO150" s="189">
        <f>-k.w2TA-SUM(EO$9:EO149,EO151:EO$163)</f>
        <v>-2.4454180835720394E-7</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5.0294024208521204E-5</v>
      </c>
      <c r="EO151" s="362">
        <v>0</v>
      </c>
      <c r="EP151" s="189">
        <f>-k.w2TP-SUM(EP$9:EP150,EP152:EP$163)</f>
        <v>-5.3815544990863729E-7</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-7.5910295800973937E-9</v>
      </c>
      <c r="ER152" s="379">
        <f>kdis.w3S.w3D</f>
        <v>1E-13</v>
      </c>
      <c r="ES152" s="379">
        <f>kdis.w3A.w3D</f>
        <v>1E-13</v>
      </c>
      <c r="ET152" s="379">
        <f>kdis.w3P.w3D</f>
        <v>1E-13</v>
      </c>
      <c r="EU152" s="190">
        <f>k.sdT.w3T</f>
        <v>4.5337470818469933E-8</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2.2724619105093776E-7</v>
      </c>
      <c r="EO153" s="185">
        <v>0</v>
      </c>
      <c r="EP153" s="185">
        <v>0</v>
      </c>
      <c r="EQ153" s="381">
        <v>0</v>
      </c>
      <c r="ER153" s="189">
        <f>-k.w3TS-SUM(ER$9:ER152,ER154:ER$163)</f>
        <v>-3.1535343724516779E-3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2.2773498566812833E-7</v>
      </c>
      <c r="EP154" s="185">
        <v>0</v>
      </c>
      <c r="EQ154" s="381">
        <v>0</v>
      </c>
      <c r="ER154" s="185">
        <f>k.w3TS.w3TA</f>
        <v>3.1032327732701216E-3</v>
      </c>
      <c r="ES154" s="189">
        <f>-k.w3TA-SUM(ES$9:ES153,ES155:ES$163)</f>
        <v>-7.5912661889376128E-9</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5.2134862721956162E-7</v>
      </c>
      <c r="EQ155" s="361">
        <v>0</v>
      </c>
      <c r="ER155" s="362">
        <f>k.w3TS.w3TP</f>
        <v>5.0294024208521204E-5</v>
      </c>
      <c r="ES155" s="362">
        <v>0</v>
      </c>
      <c r="ET155" s="189">
        <f>-k.w3TP-SUM(ET$9:ET154,ET156:ET$163)</f>
        <v>-1.7378387573985391E-8</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1.6215142527866458E-11</v>
      </c>
      <c r="ER156" s="190">
        <v>0</v>
      </c>
      <c r="ES156" s="185">
        <v>0</v>
      </c>
      <c r="ET156" s="185">
        <v>0</v>
      </c>
      <c r="EU156" s="368">
        <f>-k.sdT-SUM(EU9:EU155,EU157:EU163)</f>
        <v>-4.5339584804612181E-8</v>
      </c>
      <c r="EV156" s="379">
        <f>kdis.sd2S.sd2D</f>
        <v>1E-13</v>
      </c>
      <c r="EW156" s="379">
        <f>kdis.sd2A.sd2D</f>
        <v>1E-13</v>
      </c>
      <c r="EX156" s="379">
        <f>kdis.sd2P.sd2D</f>
        <v>1E-13</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5.8597471723220236E-14</v>
      </c>
      <c r="ES157" s="185">
        <v>0</v>
      </c>
      <c r="ET157" s="185">
        <v>0</v>
      </c>
      <c r="EU157" s="381">
        <v>0</v>
      </c>
      <c r="EV157" s="189">
        <f>-k.sdTS-SUM(EV$9:EV156,EV158:EV$163)</f>
        <v>-1.3629090105522039E-2</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1.6351751378075911E-11</v>
      </c>
      <c r="ET158" s="185">
        <v>0</v>
      </c>
      <c r="EU158" s="381">
        <v>0</v>
      </c>
      <c r="EV158" s="185">
        <f>k.sdTS.sdTA</f>
        <v>6.2029534095701319E-3</v>
      </c>
      <c r="EW158" s="189">
        <f>-k.sdTA-SUM(EW$9:EW157,EW159:EW$163)</f>
        <v>-9.8027274594393204E-9</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9.8034731364258533E-9</v>
      </c>
      <c r="EU159" s="361">
        <v>0</v>
      </c>
      <c r="EV159" s="362">
        <f>k.sdTS.sdTP</f>
        <v>7.4261268932244483E-3</v>
      </c>
      <c r="EW159" s="362">
        <v>0</v>
      </c>
      <c r="EX159" s="189">
        <f>-k.sdTP-SUM(EX$9:EX158,EX160:EX$163)</f>
        <v>-9.8027274594393204E-9</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2.4259271107049963E-6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-8.7554055483194526E-9</v>
      </c>
      <c r="EZ160" s="379">
        <f>kdis.s1S.s1D</f>
        <v>1E-13</v>
      </c>
      <c r="FA160" s="379">
        <f>kdis.s1A.s1D</f>
        <v>1E-13</v>
      </c>
      <c r="FB160" s="382">
        <f>kdis.s1P.s1D</f>
        <v>1E-13</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1.0259121804918607E-6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-0.13358975597952802</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8.5054245009915821E-8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0.10420961728077824</v>
      </c>
      <c r="FA162" s="189">
        <f>-k.sTA-SUM(FA$9:FA161,FA163)</f>
        <v>-2.6370222578104758E-7</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2.9379874996523999E-2</v>
      </c>
      <c r="FA163" s="182">
        <v>0</v>
      </c>
      <c r="FB163" s="400">
        <f>-k.sTP-SUM(FB$9:FB162)</f>
        <v>-2.4277074605563149E-11</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1694026962313830</v>
      </c>
      <c r="D168" s="185">
        <f t="array" ref="D168:FB168">TRANSPOSE(MMULT(MINVERSE(D9:FB163),-TRANSPOSE(D5:FB5)))</f>
        <v>2.6326245677455582E-11</v>
      </c>
      <c r="E168" s="185">
        <v>101134.81295785816</v>
      </c>
      <c r="F168" s="185">
        <v>614069.39991463395</v>
      </c>
      <c r="G168" s="185">
        <v>194.84407554300458</v>
      </c>
      <c r="H168" s="185">
        <v>1325.7548966574466</v>
      </c>
      <c r="I168" s="185">
        <v>1451.0767516377073</v>
      </c>
      <c r="J168" s="185">
        <v>194.84401708978189</v>
      </c>
      <c r="K168" s="185">
        <v>481319.92486742639</v>
      </c>
      <c r="L168" s="185">
        <v>30.265758031246399</v>
      </c>
      <c r="M168" s="185">
        <v>167571486.21124896</v>
      </c>
      <c r="N168" s="185">
        <v>445146.61506812437</v>
      </c>
      <c r="O168" s="185">
        <v>192007.38147013838</v>
      </c>
      <c r="P168" s="185">
        <v>101510.05085359544</v>
      </c>
      <c r="Q168" s="185">
        <v>158412806.36689425</v>
      </c>
      <c r="R168" s="185">
        <v>2025623.3799973608</v>
      </c>
      <c r="S168" s="185">
        <v>28361988.259319328</v>
      </c>
      <c r="T168" s="185">
        <v>3.2391656884391664</v>
      </c>
      <c r="U168" s="185">
        <v>10702124.727269948</v>
      </c>
      <c r="V168" s="185">
        <v>89708.211171784205</v>
      </c>
      <c r="W168" s="185">
        <v>15739.255029673386</v>
      </c>
      <c r="X168" s="185">
        <v>2.024143800005988E-7</v>
      </c>
      <c r="Y168" s="185">
        <v>28390094.852601938</v>
      </c>
      <c r="Z168" s="185">
        <v>45215307.133228183</v>
      </c>
      <c r="AA168" s="185">
        <v>77998.841285074697</v>
      </c>
      <c r="AB168" s="185">
        <v>2.2627354995065976E-2</v>
      </c>
      <c r="AC168" s="185">
        <v>88074933.164225131</v>
      </c>
      <c r="AD168" s="185">
        <v>675205614.15618086</v>
      </c>
      <c r="AE168" s="185">
        <v>3043065.6109326561</v>
      </c>
      <c r="AF168" s="185">
        <v>4.3326880977692044E-9</v>
      </c>
      <c r="AG168" s="185">
        <v>5355143.942350965</v>
      </c>
      <c r="AH168" s="185">
        <v>26912189.06440565</v>
      </c>
      <c r="AI168" s="185">
        <v>26198.936961976884</v>
      </c>
      <c r="AJ168" s="185">
        <v>0.91499794733510642</v>
      </c>
      <c r="AK168" s="185">
        <v>1163273.6087124785</v>
      </c>
      <c r="AL168" s="185">
        <v>1236895731.7676446</v>
      </c>
      <c r="AM168" s="185">
        <v>6523400.2281502113</v>
      </c>
      <c r="AN168" s="185">
        <v>54.25698216506801</v>
      </c>
      <c r="AO168" s="185">
        <v>86232235.736803621</v>
      </c>
      <c r="AP168" s="185">
        <v>140193477210.92169</v>
      </c>
      <c r="AQ168" s="185">
        <v>9703.3099859173635</v>
      </c>
      <c r="AR168" s="185">
        <v>0.33888812864263201</v>
      </c>
      <c r="AS168" s="185">
        <v>430842.077300918</v>
      </c>
      <c r="AT168" s="185">
        <v>458109530.2843129</v>
      </c>
      <c r="AU168" s="185">
        <v>1.4265264412319123E-9</v>
      </c>
      <c r="AV168" s="185">
        <v>16136.519976795505</v>
      </c>
      <c r="AW168" s="185">
        <v>2648725.9837782383</v>
      </c>
      <c r="AX168" s="185">
        <v>58.131650544899834</v>
      </c>
      <c r="AY168" s="185">
        <v>211.530231268254</v>
      </c>
      <c r="AZ168" s="185">
        <v>6259.0721782483042</v>
      </c>
      <c r="BA168" s="185">
        <v>58.131633105404681</v>
      </c>
      <c r="BB168" s="185">
        <v>2992.3038035452892</v>
      </c>
      <c r="BC168" s="185">
        <v>2.3480611190364931</v>
      </c>
      <c r="BD168" s="185">
        <v>18387441.35924428</v>
      </c>
      <c r="BE168" s="185">
        <v>2620.099211519796</v>
      </c>
      <c r="BF168" s="185">
        <v>948.97738225496687</v>
      </c>
      <c r="BG168" s="185">
        <v>23.201602790078475</v>
      </c>
      <c r="BH168" s="185">
        <v>8459398.5908723287</v>
      </c>
      <c r="BI168" s="185">
        <v>8438.4627490459025</v>
      </c>
      <c r="BJ168" s="185">
        <v>2339764674368.0088</v>
      </c>
      <c r="BK168" s="185">
        <v>15.04886154898878</v>
      </c>
      <c r="BL168" s="185">
        <v>189411625707.62637</v>
      </c>
      <c r="BM168" s="185">
        <v>7421193.9608930182</v>
      </c>
      <c r="BN168" s="185">
        <v>201.15690439352645</v>
      </c>
      <c r="BO168" s="185">
        <v>1.5703600529257272E-8</v>
      </c>
      <c r="BP168" s="185">
        <v>3138126.4940468566</v>
      </c>
      <c r="BQ168" s="185">
        <v>268091.20718805568</v>
      </c>
      <c r="BR168" s="185">
        <v>391.26572598007766</v>
      </c>
      <c r="BS168" s="185">
        <v>5.1718120360593222E-6</v>
      </c>
      <c r="BT168" s="185">
        <v>4703282.6050842768</v>
      </c>
      <c r="BU168" s="185">
        <v>2812811.4013906829</v>
      </c>
      <c r="BV168" s="185">
        <v>12551829766.91658</v>
      </c>
      <c r="BW168" s="185">
        <v>1.0064632314270212E-9</v>
      </c>
      <c r="BX168" s="185">
        <v>4738902532.7745466</v>
      </c>
      <c r="BY168" s="185">
        <v>111316774.8682501</v>
      </c>
      <c r="BZ168" s="185">
        <v>2286.2964772313544</v>
      </c>
      <c r="CA168" s="185">
        <v>7.0997887075288466E-2</v>
      </c>
      <c r="CB168" s="185">
        <v>1145673.4070230469</v>
      </c>
      <c r="CC168" s="185">
        <v>106895730.96585765</v>
      </c>
      <c r="CD168" s="185">
        <v>24416.301881349707</v>
      </c>
      <c r="CE168" s="185">
        <v>0.15777317763689924</v>
      </c>
      <c r="CF168" s="185">
        <v>5595140.872986869</v>
      </c>
      <c r="CG168" s="185">
        <v>519454927.18540657</v>
      </c>
      <c r="CH168" s="185">
        <v>846.77647304864934</v>
      </c>
      <c r="CI168" s="185">
        <v>2.6295513731588317E-2</v>
      </c>
      <c r="CJ168" s="185">
        <v>424323.48408260982</v>
      </c>
      <c r="CK168" s="185">
        <v>39591011.468836166</v>
      </c>
      <c r="CL168" s="185">
        <v>9.6805199760493185E-8</v>
      </c>
      <c r="CM168" s="185">
        <v>381.42632247884131</v>
      </c>
      <c r="CN168" s="185">
        <v>2134514.2944797487</v>
      </c>
      <c r="CO168" s="185">
        <v>1.8688527248520461</v>
      </c>
      <c r="CP168" s="185">
        <v>5.0000370787364474</v>
      </c>
      <c r="CQ168" s="185">
        <v>5043.9641988161429</v>
      </c>
      <c r="CR168" s="185">
        <v>1.868852164196229</v>
      </c>
      <c r="CS168" s="185">
        <v>12220997155750.064</v>
      </c>
      <c r="CT168" s="185">
        <v>0.34489901533170914</v>
      </c>
      <c r="CU168" s="185">
        <v>987585661637.90967</v>
      </c>
      <c r="CV168" s="185">
        <v>34688887.207936376</v>
      </c>
      <c r="CW168" s="185">
        <v>366630376452790.88</v>
      </c>
      <c r="CX168" s="185">
        <v>2.847857372415597E-5</v>
      </c>
      <c r="CY168" s="185">
        <v>29677575559419.828</v>
      </c>
      <c r="CZ168" s="185">
        <v>2103317580.9796114</v>
      </c>
      <c r="DA168" s="185">
        <v>131120939797.14569</v>
      </c>
      <c r="DB168" s="185">
        <v>1.2697588338511312E-16</v>
      </c>
      <c r="DC168" s="185">
        <v>49500354042.756775</v>
      </c>
      <c r="DD168" s="185">
        <v>2103296144.0848684</v>
      </c>
      <c r="DE168" s="185">
        <v>292.23644643577524</v>
      </c>
      <c r="DF168" s="185">
        <v>6.4184808676509345E-3</v>
      </c>
      <c r="DG168" s="185">
        <v>3382015.6099668676</v>
      </c>
      <c r="DH168" s="185">
        <v>10427928.837261558</v>
      </c>
      <c r="DI168" s="185">
        <v>4.2160930355475551E-9</v>
      </c>
      <c r="DJ168" s="185">
        <v>2.5796214713484469</v>
      </c>
      <c r="DK168" s="185">
        <v>512030.26818032807</v>
      </c>
      <c r="DL168" s="185">
        <v>3.9071193099443652E-2</v>
      </c>
      <c r="DM168" s="185">
        <v>6.2021428907796078E-2</v>
      </c>
      <c r="DN168" s="185">
        <v>2113.2845594796049</v>
      </c>
      <c r="DO168" s="185">
        <v>3.9071181378085726E-2</v>
      </c>
      <c r="DP168" s="185">
        <v>9790166009321.0254</v>
      </c>
      <c r="DQ168" s="185">
        <v>2.8091845282722165E-3</v>
      </c>
      <c r="DR168" s="185">
        <v>789681033842.40808</v>
      </c>
      <c r="DS168" s="185">
        <v>13268930.925947517</v>
      </c>
      <c r="DT168" s="185">
        <v>241045691901045.94</v>
      </c>
      <c r="DU168" s="185">
        <v>2.7151710471804869E-7</v>
      </c>
      <c r="DV168" s="185">
        <v>19478123446695.219</v>
      </c>
      <c r="DW168" s="185">
        <v>683391280.55491316</v>
      </c>
      <c r="DX168" s="185">
        <v>86207087778.081207</v>
      </c>
      <c r="DY168" s="185">
        <v>1.292346823712299E-18</v>
      </c>
      <c r="DZ168" s="185">
        <v>32488300965.470901</v>
      </c>
      <c r="EA168" s="185">
        <v>683384315.46933508</v>
      </c>
      <c r="EB168" s="185">
        <v>90.655114802825182</v>
      </c>
      <c r="EC168" s="185">
        <v>3.3349421617902885E-5</v>
      </c>
      <c r="ED168" s="185">
        <v>1489281.4336215919</v>
      </c>
      <c r="EE168" s="185">
        <v>54810.262142175234</v>
      </c>
      <c r="EF168" s="185">
        <v>2.1626758659203594E-6</v>
      </c>
      <c r="EG168" s="185">
        <v>4.23787073907517</v>
      </c>
      <c r="EH168" s="185">
        <v>905783.57073326001</v>
      </c>
      <c r="EI168" s="185">
        <v>1.4008138035600071E-2</v>
      </c>
      <c r="EJ168" s="185">
        <v>3.8555847151049635E-2</v>
      </c>
      <c r="EK168" s="185">
        <v>1530.7828416504065</v>
      </c>
      <c r="EL168" s="185">
        <v>1.4008133833158664E-2</v>
      </c>
      <c r="EM168" s="185">
        <v>28122333691383.938</v>
      </c>
      <c r="EN168" s="185">
        <v>5.4308875485873809E-3</v>
      </c>
      <c r="EO168" s="185">
        <v>2275982315475.6406</v>
      </c>
      <c r="EP168" s="185">
        <v>160336282.62289727</v>
      </c>
      <c r="EQ168" s="185">
        <v>906066791547540.25</v>
      </c>
      <c r="ER168" s="185">
        <v>3.9136571113722457E-7</v>
      </c>
      <c r="ES168" s="185">
        <v>73476623948971.375</v>
      </c>
      <c r="ET168" s="185">
        <v>11391149118.296822</v>
      </c>
      <c r="EU168" s="185">
        <v>324043892852.7428</v>
      </c>
      <c r="EV168" s="185">
        <v>1.6826538686181121E-18</v>
      </c>
      <c r="EW168" s="185">
        <v>122565019978.90674</v>
      </c>
      <c r="EX168" s="185">
        <v>11392015623.846714</v>
      </c>
      <c r="EY168" s="185">
        <v>6.9586740371888682</v>
      </c>
      <c r="EZ168" s="185">
        <v>4.4442486661052791E-5</v>
      </c>
      <c r="FA168" s="185">
        <v>531464.74106092658</v>
      </c>
      <c r="FB168" s="192">
        <v>77742.926695982314</v>
      </c>
    </row>
    <row r="169" spans="2:160" ht="12.75" customHeight="1" x14ac:dyDescent="0.3">
      <c r="B169" s="188" t="s">
        <v>4111</v>
      </c>
      <c r="C169" s="336"/>
      <c r="D169" s="185">
        <f t="shared" ref="D169:AI169" si="0">D168*Molweight</f>
        <v>1.2469952790040386E-12</v>
      </c>
      <c r="E169" s="185">
        <f t="shared" si="0"/>
        <v>4790.4526853748675</v>
      </c>
      <c r="F169" s="185">
        <f t="shared" si="0"/>
        <v>29086.625265756466</v>
      </c>
      <c r="G169" s="185">
        <f t="shared" si="0"/>
        <v>9.2291793262454984</v>
      </c>
      <c r="H169" s="185">
        <f t="shared" si="0"/>
        <v>62.797032189973272</v>
      </c>
      <c r="I169" s="185">
        <f t="shared" si="0"/>
        <v>68.733152494823273</v>
      </c>
      <c r="J169" s="185">
        <f t="shared" si="0"/>
        <v>9.229176557491698</v>
      </c>
      <c r="K169" s="185">
        <f t="shared" si="0"/>
        <v>22798.680881195385</v>
      </c>
      <c r="L169" s="185">
        <f t="shared" si="0"/>
        <v>1.4335981606660482</v>
      </c>
      <c r="M169" s="185">
        <f t="shared" si="0"/>
        <v>7937358.5873682294</v>
      </c>
      <c r="N169" s="185">
        <f t="shared" si="0"/>
        <v>21085.259715931847</v>
      </c>
      <c r="O169" s="185">
        <f t="shared" si="0"/>
        <v>9094.8136380960441</v>
      </c>
      <c r="P169" s="185">
        <f t="shared" si="0"/>
        <v>4808.2265787822553</v>
      </c>
      <c r="Q169" s="185">
        <f t="shared" si="0"/>
        <v>7503539.3991806796</v>
      </c>
      <c r="R169" s="185">
        <f t="shared" si="0"/>
        <v>95947.702640334988</v>
      </c>
      <c r="S169" s="185">
        <f t="shared" si="0"/>
        <v>1343422.2978791785</v>
      </c>
      <c r="T169" s="185">
        <f t="shared" si="0"/>
        <v>0.15342956116429798</v>
      </c>
      <c r="U169" s="185">
        <f t="shared" si="0"/>
        <v>506927.54195659561</v>
      </c>
      <c r="V169" s="185">
        <f t="shared" si="0"/>
        <v>4249.2088385739025</v>
      </c>
      <c r="W169" s="185">
        <f t="shared" si="0"/>
        <v>745.52129299053922</v>
      </c>
      <c r="X169" s="185">
        <f t="shared" si="0"/>
        <v>9.5877619374883628E-9</v>
      </c>
      <c r="Y169" s="185">
        <f t="shared" si="0"/>
        <v>1344753.622883196</v>
      </c>
      <c r="Z169" s="185">
        <f t="shared" si="0"/>
        <v>2141713.4529796191</v>
      </c>
      <c r="AA169" s="185">
        <f t="shared" si="0"/>
        <v>3694.5711151501332</v>
      </c>
      <c r="AB169" s="185">
        <f t="shared" si="0"/>
        <v>1.07178992405129E-3</v>
      </c>
      <c r="AC169" s="185">
        <f t="shared" si="0"/>
        <v>4171845.3591898517</v>
      </c>
      <c r="AD169" s="185">
        <f t="shared" si="0"/>
        <v>31982464.325735819</v>
      </c>
      <c r="AE169" s="185">
        <f t="shared" si="0"/>
        <v>144140.88879304711</v>
      </c>
      <c r="AF169" s="185">
        <f t="shared" si="0"/>
        <v>2.052264371270339E-10</v>
      </c>
      <c r="AG169" s="185">
        <f t="shared" si="0"/>
        <v>253657.10311733815</v>
      </c>
      <c r="AH169" s="185">
        <f t="shared" si="0"/>
        <v>1274749.6594137023</v>
      </c>
      <c r="AI169" s="185">
        <f t="shared" si="0"/>
        <v>1240.9650470779591</v>
      </c>
      <c r="AJ169" s="185">
        <f t="shared" ref="AJ169:BO169" si="1">AJ168*Molweight</f>
        <v>4.3340707771421988E-2</v>
      </c>
      <c r="AK169" s="185">
        <f t="shared" si="1"/>
        <v>55100.781023883974</v>
      </c>
      <c r="AL169" s="185">
        <f t="shared" si="1"/>
        <v>58588040.126638025</v>
      </c>
      <c r="AM169" s="185">
        <f t="shared" si="1"/>
        <v>308993.89860679104</v>
      </c>
      <c r="AN169" s="185">
        <f t="shared" si="1"/>
        <v>2.5699904742127764</v>
      </c>
      <c r="AO169" s="185">
        <f t="shared" si="1"/>
        <v>4084562.3101451769</v>
      </c>
      <c r="AP169" s="185">
        <f t="shared" si="1"/>
        <v>6640544435.0497274</v>
      </c>
      <c r="AQ169" s="185">
        <f t="shared" si="1"/>
        <v>459.61668410294777</v>
      </c>
      <c r="AR169" s="185">
        <f t="shared" si="1"/>
        <v>1.6052113989415549E-2</v>
      </c>
      <c r="AS169" s="185">
        <f t="shared" si="1"/>
        <v>20407.696675512583</v>
      </c>
      <c r="AT169" s="185">
        <f t="shared" si="1"/>
        <v>21699274.120977048</v>
      </c>
      <c r="AU169" s="185">
        <f t="shared" si="1"/>
        <v>6.7570277941831985E-11</v>
      </c>
      <c r="AV169" s="185">
        <f t="shared" si="1"/>
        <v>764.33854174087264</v>
      </c>
      <c r="AW169" s="185">
        <f t="shared" si="1"/>
        <v>125462.20367362381</v>
      </c>
      <c r="AX169" s="185">
        <f t="shared" si="1"/>
        <v>2.7535218913602706</v>
      </c>
      <c r="AY169" s="185">
        <f t="shared" si="1"/>
        <v>10.019552464483388</v>
      </c>
      <c r="AZ169" s="185">
        <f t="shared" si="1"/>
        <v>296.47347186708743</v>
      </c>
      <c r="BA169" s="185">
        <f t="shared" si="1"/>
        <v>2.7535210653037034</v>
      </c>
      <c r="BB169" s="185">
        <f t="shared" si="1"/>
        <v>141.73645426252972</v>
      </c>
      <c r="BC169" s="185">
        <f t="shared" si="1"/>
        <v>0.11122061102540157</v>
      </c>
      <c r="BD169" s="185">
        <f t="shared" si="1"/>
        <v>870957.93486332381</v>
      </c>
      <c r="BE169" s="185">
        <f t="shared" si="1"/>
        <v>124.10623935205817</v>
      </c>
      <c r="BF169" s="185">
        <f t="shared" si="1"/>
        <v>44.950211665271013</v>
      </c>
      <c r="BG169" s="185">
        <f t="shared" si="1"/>
        <v>1.0989903193576471</v>
      </c>
      <c r="BH169" s="185">
        <f t="shared" si="1"/>
        <v>400696.33305384958</v>
      </c>
      <c r="BI169" s="185">
        <f t="shared" si="1"/>
        <v>399.70466503405726</v>
      </c>
      <c r="BJ169" s="185">
        <f t="shared" si="1"/>
        <v>110827633330.78947</v>
      </c>
      <c r="BK169" s="185">
        <f t="shared" si="1"/>
        <v>0.71281942499095152</v>
      </c>
      <c r="BL169" s="185">
        <f t="shared" si="1"/>
        <v>8971860474.8931389</v>
      </c>
      <c r="BM169" s="185">
        <f t="shared" si="1"/>
        <v>351519.69434561959</v>
      </c>
      <c r="BN169" s="185">
        <f t="shared" si="1"/>
        <v>9.528199090408167</v>
      </c>
      <c r="BO169" s="185">
        <f t="shared" si="1"/>
        <v>7.4383244626932916E-10</v>
      </c>
      <c r="BP169" s="185">
        <f t="shared" ref="BP169:CU169" si="2">BP168*Molweight</f>
        <v>148643.63764351746</v>
      </c>
      <c r="BQ169" s="185">
        <f t="shared" si="2"/>
        <v>12698.676210876632</v>
      </c>
      <c r="BR169" s="185">
        <f t="shared" si="2"/>
        <v>18.533083642498337</v>
      </c>
      <c r="BS169" s="185">
        <f t="shared" si="2"/>
        <v>2.4497322071202191E-7</v>
      </c>
      <c r="BT169" s="185">
        <f t="shared" si="2"/>
        <v>222780.38715502693</v>
      </c>
      <c r="BU169" s="185">
        <f t="shared" si="2"/>
        <v>133234.43764967247</v>
      </c>
      <c r="BV169" s="185">
        <f t="shared" si="2"/>
        <v>594542520.56953764</v>
      </c>
      <c r="BW169" s="185">
        <f t="shared" si="2"/>
        <v>4.7673143883003711E-11</v>
      </c>
      <c r="BX169" s="185">
        <f t="shared" si="2"/>
        <v>224467596.26993194</v>
      </c>
      <c r="BY169" s="185">
        <f t="shared" si="2"/>
        <v>5272741.6751844026</v>
      </c>
      <c r="BZ169" s="185">
        <f t="shared" si="2"/>
        <v>108.29500523701756</v>
      </c>
      <c r="CA169" s="185">
        <f t="shared" si="2"/>
        <v>3.3629569170951887E-3</v>
      </c>
      <c r="CB169" s="185">
        <f t="shared" si="2"/>
        <v>54267.112270460661</v>
      </c>
      <c r="CC169" s="185">
        <f t="shared" si="2"/>
        <v>5063330.0886597792</v>
      </c>
      <c r="CD169" s="185">
        <f t="shared" si="2"/>
        <v>1156.5269712138916</v>
      </c>
      <c r="CE169" s="185">
        <f t="shared" si="2"/>
        <v>7.4732421051270067E-3</v>
      </c>
      <c r="CF169" s="185">
        <f t="shared" si="2"/>
        <v>265025.03773076902</v>
      </c>
      <c r="CG169" s="185">
        <f t="shared" si="2"/>
        <v>24605021.535991151</v>
      </c>
      <c r="CH169" s="185">
        <f t="shared" si="2"/>
        <v>40.109261198895375</v>
      </c>
      <c r="CI169" s="185">
        <f t="shared" si="2"/>
        <v>1.2455395989241437E-3</v>
      </c>
      <c r="CJ169" s="185">
        <f t="shared" si="2"/>
        <v>20098.930470540978</v>
      </c>
      <c r="CK169" s="185">
        <f t="shared" si="2"/>
        <v>1875307.4402443627</v>
      </c>
      <c r="CL169" s="185">
        <f t="shared" si="2"/>
        <v>4.5853718970552805E-9</v>
      </c>
      <c r="CM169" s="185">
        <f t="shared" si="2"/>
        <v>18.067020616855277</v>
      </c>
      <c r="CN169" s="185">
        <f t="shared" si="2"/>
        <v>101105.53858662225</v>
      </c>
      <c r="CO169" s="185">
        <f t="shared" si="2"/>
        <v>8.8521947018066871E-2</v>
      </c>
      <c r="CP169" s="185">
        <f t="shared" si="2"/>
        <v>0.23683675630850931</v>
      </c>
      <c r="CQ169" s="185">
        <f t="shared" si="2"/>
        <v>238.91745220532425</v>
      </c>
      <c r="CR169" s="185">
        <f t="shared" si="2"/>
        <v>8.8521920461482773E-2</v>
      </c>
      <c r="CS169" s="185">
        <f t="shared" si="2"/>
        <v>578871972276.41333</v>
      </c>
      <c r="CT169" s="185">
        <f t="shared" si="2"/>
        <v>1.6336831659217066E-2</v>
      </c>
      <c r="CU169" s="185">
        <f t="shared" si="2"/>
        <v>46778970034.802864</v>
      </c>
      <c r="CV169" s="185">
        <f t="shared" ref="CV169:EA169" si="3">CV168*Molweight</f>
        <v>1643108.5203783223</v>
      </c>
      <c r="CW169" s="185">
        <f t="shared" si="3"/>
        <v>17366181041439.346</v>
      </c>
      <c r="CX169" s="185">
        <f t="shared" si="3"/>
        <v>1.3489446015920957E-6</v>
      </c>
      <c r="CY169" s="185">
        <f t="shared" si="3"/>
        <v>1405737721523.0391</v>
      </c>
      <c r="CZ169" s="185">
        <f t="shared" si="3"/>
        <v>99627843.858261257</v>
      </c>
      <c r="DA169" s="185">
        <f t="shared" si="3"/>
        <v>6210805555.3713999</v>
      </c>
      <c r="DB169" s="185">
        <f t="shared" si="3"/>
        <v>6.0144666683026529E-18</v>
      </c>
      <c r="DC169" s="185">
        <f t="shared" si="3"/>
        <v>2344683269.9432602</v>
      </c>
      <c r="DD169" s="185">
        <f t="shared" si="3"/>
        <v>99626828.456867963</v>
      </c>
      <c r="DE169" s="185">
        <f t="shared" si="3"/>
        <v>13.842363758323366</v>
      </c>
      <c r="DF169" s="185">
        <f t="shared" si="3"/>
        <v>3.0402418325802178E-4</v>
      </c>
      <c r="DG169" s="185">
        <f t="shared" si="3"/>
        <v>160195.93339730063</v>
      </c>
      <c r="DH169" s="185">
        <f t="shared" si="3"/>
        <v>493939.70523456822</v>
      </c>
      <c r="DI169" s="185">
        <f t="shared" si="3"/>
        <v>1.9970367881478103E-10</v>
      </c>
      <c r="DJ169" s="185">
        <f t="shared" si="3"/>
        <v>0.12218893023336189</v>
      </c>
      <c r="DK169" s="185">
        <f t="shared" si="3"/>
        <v>24253.337712897599</v>
      </c>
      <c r="DL169" s="185">
        <f t="shared" si="3"/>
        <v>1.8506852035413475E-3</v>
      </c>
      <c r="DM169" s="185">
        <f t="shared" si="3"/>
        <v>2.9377690230755768E-3</v>
      </c>
      <c r="DN169" s="185">
        <f t="shared" si="3"/>
        <v>100.09994972887044</v>
      </c>
      <c r="DO169" s="185">
        <f t="shared" si="3"/>
        <v>1.8506846483357865E-3</v>
      </c>
      <c r="DP169" s="185">
        <f t="shared" si="3"/>
        <v>463730793363.50903</v>
      </c>
      <c r="DQ169" s="185">
        <f t="shared" si="3"/>
        <v>1.3306264355067006E-4</v>
      </c>
      <c r="DR169" s="185">
        <f t="shared" si="3"/>
        <v>37404821530.013344</v>
      </c>
      <c r="DS169" s="185">
        <f t="shared" si="3"/>
        <v>628509.45116935601</v>
      </c>
      <c r="DT169" s="185">
        <f t="shared" si="3"/>
        <v>11417611288276.842</v>
      </c>
      <c r="DU169" s="185">
        <f t="shared" si="3"/>
        <v>1.2860950699179812E-8</v>
      </c>
      <c r="DV169" s="185">
        <f t="shared" si="3"/>
        <v>922620273299.61243</v>
      </c>
      <c r="DW169" s="185">
        <f t="shared" si="3"/>
        <v>32370194.786044572</v>
      </c>
      <c r="DX169" s="185">
        <f t="shared" si="3"/>
        <v>4083371126.7843723</v>
      </c>
      <c r="DY169" s="185">
        <f t="shared" si="3"/>
        <v>6.1214591998780464E-20</v>
      </c>
      <c r="DZ169" s="185">
        <f t="shared" si="3"/>
        <v>1538873351.8314602</v>
      </c>
      <c r="EA169" s="185">
        <f t="shared" si="3"/>
        <v>32369864.870835993</v>
      </c>
      <c r="EB169" s="185">
        <f t="shared" ref="EB169:FB169" si="4">EB168*Molweight</f>
        <v>4.2940608228654202</v>
      </c>
      <c r="EC169" s="185">
        <f t="shared" si="4"/>
        <v>1.579662053775206E-6</v>
      </c>
      <c r="ED169" s="185">
        <f t="shared" si="4"/>
        <v>70542.793666353944</v>
      </c>
      <c r="EE169" s="185">
        <f t="shared" si="4"/>
        <v>2596.1976868884144</v>
      </c>
      <c r="EF169" s="185">
        <f t="shared" si="4"/>
        <v>1.0243946774104967E-7</v>
      </c>
      <c r="EG169" s="185">
        <f t="shared" si="4"/>
        <v>0.20073522329777357</v>
      </c>
      <c r="EH169" s="185">
        <f t="shared" si="4"/>
        <v>42904.250394922325</v>
      </c>
      <c r="EI169" s="185">
        <f t="shared" si="4"/>
        <v>6.6352347433226862E-4</v>
      </c>
      <c r="EJ169" s="185">
        <f t="shared" si="4"/>
        <v>1.826274812003768E-3</v>
      </c>
      <c r="EK169" s="185">
        <f t="shared" si="4"/>
        <v>72.508590860454802</v>
      </c>
      <c r="EL169" s="185">
        <f t="shared" si="4"/>
        <v>6.635232752752264E-4</v>
      </c>
      <c r="EM169" s="185">
        <f t="shared" si="4"/>
        <v>1332070579959.783</v>
      </c>
      <c r="EN169" s="185">
        <f t="shared" si="4"/>
        <v>2.5724485051393847E-4</v>
      </c>
      <c r="EO169" s="185">
        <f t="shared" si="4"/>
        <v>107806454337.13467</v>
      </c>
      <c r="EP169" s="185">
        <f t="shared" si="4"/>
        <v>7594648.6989987744</v>
      </c>
      <c r="EQ169" s="185">
        <f t="shared" si="4"/>
        <v>42917665715232.336</v>
      </c>
      <c r="ER169" s="185">
        <f t="shared" si="4"/>
        <v>1.8537819639436917E-8</v>
      </c>
      <c r="ES169" s="185">
        <f t="shared" si="4"/>
        <v>3480367246590.9272</v>
      </c>
      <c r="ET169" s="185">
        <f t="shared" si="4"/>
        <v>539564560.28636551</v>
      </c>
      <c r="EU169" s="185">
        <f t="shared" si="4"/>
        <v>15348987072.755867</v>
      </c>
      <c r="EV169" s="185">
        <f t="shared" si="4"/>
        <v>7.9702265794834111E-20</v>
      </c>
      <c r="EW169" s="185">
        <f t="shared" si="4"/>
        <v>5805537301.3408756</v>
      </c>
      <c r="EX169" s="185">
        <f t="shared" si="4"/>
        <v>539605604.05474734</v>
      </c>
      <c r="EY169" s="185">
        <f t="shared" si="4"/>
        <v>0.32961151311952513</v>
      </c>
      <c r="EZ169" s="185">
        <f t="shared" si="4"/>
        <v>2.1051072656740874E-6</v>
      </c>
      <c r="FA169" s="185">
        <f t="shared" si="4"/>
        <v>25173.890389832908</v>
      </c>
      <c r="FB169" s="185">
        <f t="shared" si="4"/>
        <v>3682.4492088085944</v>
      </c>
    </row>
    <row r="170" spans="2:160" ht="12.75" customHeight="1" x14ac:dyDescent="0.3">
      <c r="B170" s="188" t="s">
        <v>4112</v>
      </c>
      <c r="C170" s="188"/>
      <c r="D170" s="195">
        <f>D171*8.314*TEMP.R</f>
        <v>2.7172450487525632E-22</v>
      </c>
      <c r="E170" s="195"/>
      <c r="F170" s="195"/>
      <c r="G170" s="195"/>
      <c r="H170" s="195"/>
      <c r="I170" s="195"/>
      <c r="J170" s="195"/>
      <c r="K170" s="434">
        <f>K171*KawD.R*8.314*TEMP.R</f>
        <v>2.2574345863457279E-25</v>
      </c>
      <c r="L170" s="195"/>
      <c r="M170" s="195"/>
      <c r="N170" s="195"/>
      <c r="O170" s="195">
        <f>O171*KawD.R*8.314*TEMP.R</f>
        <v>2.728885535885356E-25</v>
      </c>
      <c r="P170" s="195"/>
      <c r="Q170" s="195"/>
      <c r="R170" s="195"/>
      <c r="S170" s="195">
        <f>S171*KawD.R*8.314*TEMP.R</f>
        <v>7.601113968714973E-23</v>
      </c>
      <c r="T170" s="195"/>
      <c r="U170" s="195"/>
      <c r="V170" s="195"/>
      <c r="W170" s="195"/>
      <c r="X170" s="195"/>
      <c r="Y170" s="195"/>
      <c r="Z170" s="195"/>
      <c r="AA170" s="195">
        <f>AA171*KawD.R/Ksdw1.R*8.314*TEMP.R</f>
        <v>4.2967079914617845E-25</v>
      </c>
      <c r="AB170" s="195"/>
      <c r="AC170" s="195"/>
      <c r="AD170" s="195"/>
      <c r="AE170" s="195">
        <f>AE171*KawD.R/Ksdw2.R*8.314*TEMP.R</f>
        <v>1.0536853136515171E-22</v>
      </c>
      <c r="AF170" s="195"/>
      <c r="AG170" s="195"/>
      <c r="AH170" s="195"/>
      <c r="AI170" s="195">
        <f>AI171*KawD.R/Ks1w.R*8.314*TEMP.R</f>
        <v>7.5346711359858281E-27</v>
      </c>
      <c r="AJ170" s="195"/>
      <c r="AK170" s="195"/>
      <c r="AL170" s="195"/>
      <c r="AM170" s="195">
        <f>AM171*KawD.R/Ks2w.R*8.314*TEMP.R</f>
        <v>2.1106060491583853E-25</v>
      </c>
      <c r="AN170" s="195"/>
      <c r="AO170" s="195"/>
      <c r="AP170" s="195"/>
      <c r="AQ170" s="195">
        <f>AQ171*KawD.R/Ks3w.R*8.314*TEMP.R</f>
        <v>7.5346711359858281E-27</v>
      </c>
      <c r="AR170" s="195"/>
      <c r="AS170" s="195"/>
      <c r="AT170" s="195"/>
      <c r="AU170" s="195">
        <f>AU171*8.314*TEMP.C</f>
        <v>4.6951295638808888E-22</v>
      </c>
      <c r="AV170" s="195"/>
      <c r="AW170" s="195"/>
      <c r="AX170" s="195"/>
      <c r="AY170" s="195"/>
      <c r="AZ170" s="195"/>
      <c r="BA170" s="195"/>
      <c r="BB170" s="195">
        <f>BB171*Kaw.C*8.314*TEMP.C</f>
        <v>9.2023510822315748E-29</v>
      </c>
      <c r="BC170" s="195"/>
      <c r="BD170" s="195"/>
      <c r="BE170" s="195"/>
      <c r="BF170" s="195">
        <f>BF171*Kaw.C*8.314*TEMP.C</f>
        <v>8.8437210458706828E-29</v>
      </c>
      <c r="BG170" s="195"/>
      <c r="BH170" s="195"/>
      <c r="BI170" s="195"/>
      <c r="BJ170" s="195">
        <f>BJ171*Kaw.C*8.314*TEMP.C</f>
        <v>8.4432539684796146E-23</v>
      </c>
      <c r="BK170" s="195"/>
      <c r="BL170" s="195"/>
      <c r="BM170" s="195"/>
      <c r="BN170" s="195"/>
      <c r="BO170" s="195"/>
      <c r="BP170" s="195"/>
      <c r="BQ170" s="195"/>
      <c r="BR170" s="195">
        <f>BR171*Kaw.C/Ksdw1.C*8.314*TEMP.C</f>
        <v>1.4132899609513202E-28</v>
      </c>
      <c r="BS170" s="195"/>
      <c r="BT170" s="195"/>
      <c r="BU170" s="195"/>
      <c r="BV170" s="195">
        <f>BV171*Kaw.C/Ksdw2.C*8.314*TEMP.C</f>
        <v>1.1703984786487732E-22</v>
      </c>
      <c r="BW170" s="195"/>
      <c r="BX170" s="195"/>
      <c r="BY170" s="195"/>
      <c r="BZ170" s="195">
        <f>BZ171*Kaw.C/Ks1w.C*8.314*TEMP.C</f>
        <v>4.3114659238283938E-29</v>
      </c>
      <c r="CA170" s="195"/>
      <c r="CB170" s="195"/>
      <c r="CC170" s="195"/>
      <c r="CD170" s="195">
        <f>CD171*Kaw.C/Ks2w.C*8.314*TEMP.C</f>
        <v>5.1799410715175007E-29</v>
      </c>
      <c r="CE170" s="195"/>
      <c r="CF170" s="195"/>
      <c r="CG170" s="195"/>
      <c r="CH170" s="195">
        <f>CH171*Kaw.C/Ks3w.C*8.314*TEMP.C</f>
        <v>4.3114659238283927E-29</v>
      </c>
      <c r="CI170" s="195"/>
      <c r="CJ170" s="195"/>
      <c r="CK170" s="195"/>
      <c r="CL170" s="195">
        <f>CL171*8.314*TEMP.M</f>
        <v>2.9570134371321601E-21</v>
      </c>
      <c r="CM170" s="195"/>
      <c r="CN170" s="195"/>
      <c r="CO170" s="195"/>
      <c r="CP170" s="195"/>
      <c r="CQ170" s="195"/>
      <c r="CR170" s="195"/>
      <c r="CS170" s="195">
        <f>CS171*Kaw.M*8.314*TEMP.M</f>
        <v>8.4445558456985811E-23</v>
      </c>
      <c r="CT170" s="195"/>
      <c r="CU170" s="195"/>
      <c r="CV170" s="195"/>
      <c r="CW170" s="195">
        <f>CW171*Kaw.M*8.314*TEMP.M</f>
        <v>8.4445664818449567E-23</v>
      </c>
      <c r="CX170" s="195"/>
      <c r="CY170" s="195"/>
      <c r="CZ170" s="195"/>
      <c r="DA170" s="195">
        <f>DA171*Kaw.M/Ksdw.M*8.314*TEMP.M</f>
        <v>1.1705804368543031E-22</v>
      </c>
      <c r="DB170" s="195"/>
      <c r="DC170" s="195"/>
      <c r="DD170" s="195"/>
      <c r="DE170" s="185">
        <f>DE171*Kaw.M/Kslw.M*8.314*TEMP.M</f>
        <v>1.3372961677731419E-31</v>
      </c>
      <c r="DF170" s="185"/>
      <c r="DG170" s="185"/>
      <c r="DH170" s="185"/>
      <c r="DI170" s="195">
        <f>DI171*8.314*TEMP.A</f>
        <v>2.1691378605892747E-22</v>
      </c>
      <c r="DJ170" s="195"/>
      <c r="DK170" s="195"/>
      <c r="DL170" s="195"/>
      <c r="DM170" s="195"/>
      <c r="DN170" s="195"/>
      <c r="DO170" s="195"/>
      <c r="DP170" s="195">
        <f>DP171*Kaw.A*8.314*TEMP.A</f>
        <v>2.1146867210081702E-28</v>
      </c>
      <c r="DQ170" s="195"/>
      <c r="DR170" s="195"/>
      <c r="DS170" s="195"/>
      <c r="DT170" s="195">
        <f>DT171*Kaw.A*8.314*TEMP.A</f>
        <v>1.7355378970218981E-28</v>
      </c>
      <c r="DU170" s="195"/>
      <c r="DV170" s="195"/>
      <c r="DW170" s="195"/>
      <c r="DX170" s="195">
        <f>DX171*Kaw.A/Ksdw.A*8.314*TEMP.A</f>
        <v>2.4057915521864971E-28</v>
      </c>
      <c r="DY170" s="195"/>
      <c r="DZ170" s="195"/>
      <c r="EA170" s="195"/>
      <c r="EB170" s="185">
        <f>EB171*Kaw.A/Kslw.A*8.314*TEMP.A</f>
        <v>1.9451925880847883E-37</v>
      </c>
      <c r="EC170" s="185"/>
      <c r="ED170" s="185"/>
      <c r="EE170" s="185"/>
      <c r="EF170" s="195">
        <f>EF171*8.314*TEMP.T</f>
        <v>4.2024994336753489E-20</v>
      </c>
      <c r="EG170" s="195"/>
      <c r="EH170" s="195"/>
      <c r="EI170" s="195"/>
      <c r="EJ170" s="195"/>
      <c r="EK170" s="195"/>
      <c r="EL170" s="195"/>
      <c r="EM170" s="195">
        <f>EM171*Kaw.T*8.314*TEMP.T</f>
        <v>7.8067346250341148E-20</v>
      </c>
      <c r="EN170" s="195"/>
      <c r="EO170" s="195"/>
      <c r="EP170" s="195"/>
      <c r="EQ170" s="195">
        <f>EQ171*Kaw.T*8.314*TEMP.T</f>
        <v>8.3841109724295885E-20</v>
      </c>
      <c r="ER170" s="195"/>
      <c r="ES170" s="195"/>
      <c r="ET170" s="195"/>
      <c r="EU170" s="195">
        <f>EU171*Kaw.T/Ksdw.T*8.314*TEMP.T</f>
        <v>1.1622001834161447E-19</v>
      </c>
      <c r="EV170" s="195"/>
      <c r="EW170" s="195"/>
      <c r="EX170" s="195"/>
      <c r="EY170" s="195">
        <f>EY171*Kaw.T/Kslw.T*8.314*TEMP.T</f>
        <v>2.9850003811913766E-30</v>
      </c>
      <c r="EZ170" s="195"/>
      <c r="FA170" s="195"/>
      <c r="FB170" s="196"/>
    </row>
    <row r="171" spans="2:160" ht="12.75" customHeight="1" x14ac:dyDescent="0.3">
      <c r="B171" s="188" t="s">
        <v>4113</v>
      </c>
      <c r="C171" s="389"/>
      <c r="D171" s="185">
        <f>D168/D4</f>
        <v>1.1467636701368495E-25</v>
      </c>
      <c r="E171" s="185">
        <f t="shared" ref="E171:AI171" si="5">E168/E4</f>
        <v>4.4054032886836758E-10</v>
      </c>
      <c r="F171" s="185">
        <f t="shared" si="5"/>
        <v>2.6748685984035773E-9</v>
      </c>
      <c r="G171" s="185">
        <f>G168/G4</f>
        <v>8.4873517444023512E-13</v>
      </c>
      <c r="H171" s="185">
        <f t="shared" si="5"/>
        <v>1.9249833665607221E-5</v>
      </c>
      <c r="I171" s="185">
        <f t="shared" si="5"/>
        <v>2.1069494953766657E-5</v>
      </c>
      <c r="J171" s="185">
        <f t="shared" si="5"/>
        <v>2.8291163993989424E-6</v>
      </c>
      <c r="K171" s="32">
        <f t="shared" si="5"/>
        <v>8.4231513298757737E-6</v>
      </c>
      <c r="L171" s="185">
        <f t="shared" si="5"/>
        <v>5.2965407588478628E-10</v>
      </c>
      <c r="M171" s="185">
        <f t="shared" si="5"/>
        <v>2.9325193369427126E-3</v>
      </c>
      <c r="N171" s="185">
        <f t="shared" si="5"/>
        <v>7.7901144519075003E-6</v>
      </c>
      <c r="O171" s="185">
        <f t="shared" si="5"/>
        <v>1.0182273262624321E-5</v>
      </c>
      <c r="P171" s="185">
        <f t="shared" si="5"/>
        <v>5.3831424020276502E-6</v>
      </c>
      <c r="Q171" s="185">
        <f t="shared" si="5"/>
        <v>8.4007316300898065E-3</v>
      </c>
      <c r="R171" s="185">
        <f t="shared" si="5"/>
        <v>1.0742009304210822E-4</v>
      </c>
      <c r="S171" s="185">
        <f t="shared" si="5"/>
        <v>2.8361988259319295E-3</v>
      </c>
      <c r="T171" s="185">
        <f t="shared" si="5"/>
        <v>3.2391656884391627E-10</v>
      </c>
      <c r="U171" s="185">
        <f t="shared" si="5"/>
        <v>1.0702124727269935E-3</v>
      </c>
      <c r="V171" s="185">
        <f t="shared" si="5"/>
        <v>8.9708211171784105E-6</v>
      </c>
      <c r="W171" s="185">
        <f t="shared" si="5"/>
        <v>9.1812894837020815E-4</v>
      </c>
      <c r="X171" s="185">
        <f t="shared" si="5"/>
        <v>1.1807579297405538E-14</v>
      </c>
      <c r="Y171" s="185">
        <f t="shared" si="5"/>
        <v>1.656099217021886</v>
      </c>
      <c r="Z171" s="185">
        <f t="shared" si="5"/>
        <v>2.6375760676220668</v>
      </c>
      <c r="AA171" s="185">
        <f t="shared" si="5"/>
        <v>4.1363280414102806E-4</v>
      </c>
      <c r="AB171" s="185">
        <f t="shared" si="5"/>
        <v>1.1999429918062884E-10</v>
      </c>
      <c r="AC171" s="185">
        <f t="shared" si="5"/>
        <v>0.46706695867574621</v>
      </c>
      <c r="AD171" s="185">
        <f t="shared" si="5"/>
        <v>3.580658211760237</v>
      </c>
      <c r="AE171" s="185">
        <f t="shared" si="5"/>
        <v>0.10143552036442177</v>
      </c>
      <c r="AF171" s="185">
        <f t="shared" si="5"/>
        <v>1.4442293659230667E-16</v>
      </c>
      <c r="AG171" s="185">
        <f t="shared" si="5"/>
        <v>0.17850479807836533</v>
      </c>
      <c r="AH171" s="185">
        <f t="shared" si="5"/>
        <v>0.89707296881352072</v>
      </c>
      <c r="AI171" s="185">
        <f t="shared" si="5"/>
        <v>8.4904493029858366E-6</v>
      </c>
      <c r="AJ171" s="185">
        <f t="shared" ref="AJ171:BO171" si="6">AJ168/AJ4</f>
        <v>2.9652896586833962E-10</v>
      </c>
      <c r="AK171" s="185">
        <f t="shared" si="6"/>
        <v>3.7698917382063957E-4</v>
      </c>
      <c r="AL171" s="185">
        <f t="shared" si="6"/>
        <v>0.40084834430092553</v>
      </c>
      <c r="AM171" s="185">
        <f t="shared" si="6"/>
        <v>2.3783378644580842E-4</v>
      </c>
      <c r="AN171" s="185">
        <f t="shared" si="6"/>
        <v>1.9781315047566758E-9</v>
      </c>
      <c r="AO171" s="185">
        <f t="shared" si="6"/>
        <v>3.14390324396624E-3</v>
      </c>
      <c r="AP171" s="185">
        <f t="shared" si="6"/>
        <v>5.1112524686427827</v>
      </c>
      <c r="AQ171" s="185">
        <f t="shared" si="6"/>
        <v>8.4904493029858366E-6</v>
      </c>
      <c r="AR171" s="185">
        <f t="shared" si="6"/>
        <v>2.9652896586833967E-10</v>
      </c>
      <c r="AS171" s="185">
        <f t="shared" si="6"/>
        <v>3.7698917382063962E-4</v>
      </c>
      <c r="AT171" s="185">
        <f t="shared" si="6"/>
        <v>0.4008483443009257</v>
      </c>
      <c r="AU171" s="185">
        <f t="shared" si="6"/>
        <v>1.9814937239156482E-25</v>
      </c>
      <c r="AV171" s="185">
        <f t="shared" si="6"/>
        <v>2.2414174834535473E-12</v>
      </c>
      <c r="AW171" s="185">
        <f t="shared" si="6"/>
        <v>3.6791704391377876E-10</v>
      </c>
      <c r="AX171" s="185">
        <f t="shared" si="6"/>
        <v>8.0746838885161966E-15</v>
      </c>
      <c r="AY171" s="185">
        <f t="shared" si="6"/>
        <v>9.794089417987633E-8</v>
      </c>
      <c r="AZ171" s="185">
        <f t="shared" si="6"/>
        <v>2.898021347580429E-6</v>
      </c>
      <c r="BA171" s="185">
        <f t="shared" si="6"/>
        <v>2.6915604887036772E-8</v>
      </c>
      <c r="BB171" s="185">
        <f t="shared" si="6"/>
        <v>3.433667412784625E-9</v>
      </c>
      <c r="BC171" s="185">
        <f t="shared" si="6"/>
        <v>2.6943991910546591E-12</v>
      </c>
      <c r="BD171" s="185">
        <f t="shared" si="6"/>
        <v>2.1099581574879261E-5</v>
      </c>
      <c r="BE171" s="185">
        <f t="shared" si="6"/>
        <v>3.0065627929219885E-9</v>
      </c>
      <c r="BF171" s="185">
        <f t="shared" si="6"/>
        <v>3.2998520151656569E-9</v>
      </c>
      <c r="BG171" s="185">
        <f t="shared" si="6"/>
        <v>8.0678272373559363E-11</v>
      </c>
      <c r="BH171" s="185">
        <f t="shared" si="6"/>
        <v>2.941562571370069E-5</v>
      </c>
      <c r="BI171" s="185">
        <f t="shared" si="6"/>
        <v>2.9342826107375022E-8</v>
      </c>
      <c r="BJ171" s="185">
        <f t="shared" si="6"/>
        <v>3.1504259890074203E-3</v>
      </c>
      <c r="BK171" s="185">
        <f t="shared" si="6"/>
        <v>2.0262860213373666E-14</v>
      </c>
      <c r="BL171" s="185">
        <f t="shared" si="6"/>
        <v>2.5503731840495177E-4</v>
      </c>
      <c r="BM171" s="185">
        <f t="shared" si="6"/>
        <v>9.9924246997948219E-9</v>
      </c>
      <c r="BN171" s="185">
        <f t="shared" si="6"/>
        <v>7.694248900065272E-7</v>
      </c>
      <c r="BO171" s="185">
        <f t="shared" si="6"/>
        <v>6.0066251001221218E-17</v>
      </c>
      <c r="BP171" s="185">
        <f t="shared" ref="BP171:CU171" si="7">BP168/BP4</f>
        <v>1.2003329638563853E-2</v>
      </c>
      <c r="BQ171" s="185">
        <f t="shared" si="7"/>
        <v>1.025448508587335E-3</v>
      </c>
      <c r="BR171" s="185">
        <f t="shared" si="7"/>
        <v>1.3605371618790816E-7</v>
      </c>
      <c r="BS171" s="185">
        <f t="shared" si="7"/>
        <v>1.798379464924179E-15</v>
      </c>
      <c r="BT171" s="185">
        <f t="shared" si="7"/>
        <v>1.6354590607209067E-3</v>
      </c>
      <c r="BU171" s="185">
        <f t="shared" si="7"/>
        <v>9.7809089496994693E-4</v>
      </c>
      <c r="BV171" s="185">
        <f t="shared" si="7"/>
        <v>0.1126711905132711</v>
      </c>
      <c r="BW171" s="185">
        <f t="shared" si="7"/>
        <v>9.034492388640281E-21</v>
      </c>
      <c r="BX171" s="185">
        <f t="shared" si="7"/>
        <v>4.253864177646733E-2</v>
      </c>
      <c r="BY171" s="185">
        <f t="shared" si="7"/>
        <v>9.99232285762952E-4</v>
      </c>
      <c r="BZ171" s="185">
        <f t="shared" si="7"/>
        <v>4.858378313684217E-8</v>
      </c>
      <c r="CA171" s="185">
        <f t="shared" si="7"/>
        <v>1.5087045723032792E-12</v>
      </c>
      <c r="CB171" s="185">
        <f t="shared" si="7"/>
        <v>2.4345551378296755E-5</v>
      </c>
      <c r="CC171" s="185">
        <f t="shared" si="7"/>
        <v>2.2715334879877536E-3</v>
      </c>
      <c r="CD171" s="185">
        <f t="shared" si="7"/>
        <v>5.8370201255531199E-8</v>
      </c>
      <c r="CE171" s="185">
        <f t="shared" si="7"/>
        <v>3.7717637077648243E-13</v>
      </c>
      <c r="CF171" s="185">
        <f t="shared" si="7"/>
        <v>1.3375878967926594E-5</v>
      </c>
      <c r="CG171" s="185">
        <f t="shared" si="7"/>
        <v>1.2418215006650872E-3</v>
      </c>
      <c r="CH171" s="185">
        <f t="shared" si="7"/>
        <v>4.8583783136842157E-8</v>
      </c>
      <c r="CI171" s="185">
        <f t="shared" si="7"/>
        <v>1.5087045723032794E-12</v>
      </c>
      <c r="CJ171" s="185">
        <f t="shared" si="7"/>
        <v>2.4345551378296755E-5</v>
      </c>
      <c r="CK171" s="185">
        <f t="shared" si="7"/>
        <v>2.2715334879877544E-3</v>
      </c>
      <c r="CL171" s="185">
        <f t="shared" si="7"/>
        <v>1.2479535415351659E-24</v>
      </c>
      <c r="CM171" s="185">
        <f t="shared" si="7"/>
        <v>4.9171153114697029E-15</v>
      </c>
      <c r="CN171" s="185">
        <f t="shared" si="7"/>
        <v>2.7516855291285103E-11</v>
      </c>
      <c r="CO171" s="185">
        <f t="shared" si="7"/>
        <v>2.4092108506123432E-17</v>
      </c>
      <c r="CP171" s="185">
        <f t="shared" si="7"/>
        <v>2.1485808598623102E-10</v>
      </c>
      <c r="CQ171" s="185">
        <f t="shared" si="7"/>
        <v>2.1674569137686861E-7</v>
      </c>
      <c r="CR171" s="185">
        <f t="shared" si="7"/>
        <v>8.0307004261636279E-11</v>
      </c>
      <c r="CS171" s="185">
        <f t="shared" si="7"/>
        <v>3.1509117576270116E-3</v>
      </c>
      <c r="CT171" s="185">
        <f t="shared" si="7"/>
        <v>8.8924524631882394E-17</v>
      </c>
      <c r="CU171" s="185">
        <f t="shared" si="7"/>
        <v>2.5462695337054552E-4</v>
      </c>
      <c r="CV171" s="185">
        <f t="shared" ref="CV171:EA171" si="8">CV168/CV4</f>
        <v>8.9437564848017977E-9</v>
      </c>
      <c r="CW171" s="185">
        <f t="shared" si="8"/>
        <v>3.1509157262855515E-3</v>
      </c>
      <c r="CX171" s="185">
        <f t="shared" si="8"/>
        <v>2.4475218523302054E-22</v>
      </c>
      <c r="CY171" s="185">
        <f t="shared" si="8"/>
        <v>2.5505671530259757E-4</v>
      </c>
      <c r="CZ171" s="185">
        <f t="shared" si="8"/>
        <v>1.807645211344051E-8</v>
      </c>
      <c r="DA171" s="185">
        <f t="shared" si="8"/>
        <v>0.11268870715227458</v>
      </c>
      <c r="DB171" s="185">
        <f t="shared" si="8"/>
        <v>1.0912633909063746E-28</v>
      </c>
      <c r="DC171" s="185">
        <f t="shared" si="8"/>
        <v>4.2541877058598979E-2</v>
      </c>
      <c r="DD171" s="185">
        <f t="shared" si="8"/>
        <v>1.8076267879255058E-3</v>
      </c>
      <c r="DE171" s="185">
        <f t="shared" si="8"/>
        <v>1.5069330977601488E-10</v>
      </c>
      <c r="DF171" s="185">
        <f t="shared" si="8"/>
        <v>3.3097244969850577E-15</v>
      </c>
      <c r="DG171" s="185">
        <f t="shared" si="8"/>
        <v>1.743954705841457E-6</v>
      </c>
      <c r="DH171" s="185">
        <f t="shared" si="8"/>
        <v>5.377218104590678E-6</v>
      </c>
      <c r="DI171" s="185">
        <f t="shared" si="8"/>
        <v>9.9202218832372829E-26</v>
      </c>
      <c r="DJ171" s="185">
        <f t="shared" si="8"/>
        <v>6.0696994005532241E-17</v>
      </c>
      <c r="DK171" s="185">
        <f t="shared" si="8"/>
        <v>1.2047774630340109E-11</v>
      </c>
      <c r="DL171" s="185">
        <f t="shared" si="8"/>
        <v>9.1932246637188458E-19</v>
      </c>
      <c r="DM171" s="185">
        <f t="shared" si="8"/>
        <v>4.864427256018065E-12</v>
      </c>
      <c r="DN171" s="185">
        <f t="shared" si="8"/>
        <v>1.6574785831099317E-7</v>
      </c>
      <c r="DO171" s="185">
        <f t="shared" si="8"/>
        <v>3.0644073019171493E-12</v>
      </c>
      <c r="DP171" s="185">
        <f t="shared" si="8"/>
        <v>3.8392807879690295E-3</v>
      </c>
      <c r="DQ171" s="185">
        <f t="shared" si="8"/>
        <v>1.1016409914793005E-18</v>
      </c>
      <c r="DR171" s="185">
        <f t="shared" si="8"/>
        <v>3.0967883680094437E-4</v>
      </c>
      <c r="DS171" s="185">
        <f t="shared" si="8"/>
        <v>5.2035023239009867E-9</v>
      </c>
      <c r="DT171" s="185">
        <f t="shared" si="8"/>
        <v>3.1509240771378554E-3</v>
      </c>
      <c r="DU171" s="185">
        <f t="shared" si="8"/>
        <v>3.5492431989287411E-24</v>
      </c>
      <c r="DV171" s="185">
        <f t="shared" si="8"/>
        <v>2.5461599276725775E-4</v>
      </c>
      <c r="DW171" s="185">
        <f t="shared" si="8"/>
        <v>8.9332193536589963E-9</v>
      </c>
      <c r="DX171" s="185">
        <f t="shared" si="8"/>
        <v>0.1126890036314787</v>
      </c>
      <c r="DY171" s="185">
        <f t="shared" si="8"/>
        <v>1.6893422532186916E-30</v>
      </c>
      <c r="DZ171" s="185">
        <f t="shared" si="8"/>
        <v>4.246836727512536E-2</v>
      </c>
      <c r="EA171" s="185">
        <f t="shared" si="8"/>
        <v>8.9331283067886939E-4</v>
      </c>
      <c r="EB171" s="185">
        <f t="shared" ref="EB171:FB171" si="9">EB168/EB4</f>
        <v>1.0665307623861786E-10</v>
      </c>
      <c r="EC171" s="185">
        <f t="shared" si="9"/>
        <v>3.9234613668121039E-17</v>
      </c>
      <c r="ED171" s="185">
        <f t="shared" si="9"/>
        <v>1.7520958042606964E-6</v>
      </c>
      <c r="EE171" s="185">
        <f t="shared" si="9"/>
        <v>6.4482661343735575E-8</v>
      </c>
      <c r="EF171" s="185">
        <f t="shared" si="9"/>
        <v>1.6962168742927952E-23</v>
      </c>
      <c r="EG171" s="185">
        <f t="shared" si="9"/>
        <v>3.3238211846562927E-17</v>
      </c>
      <c r="EH171" s="185">
        <f t="shared" si="9"/>
        <v>7.1041869997522571E-12</v>
      </c>
      <c r="EI171" s="185">
        <f t="shared" si="9"/>
        <v>1.0986778225915876E-19</v>
      </c>
      <c r="EJ171" s="185">
        <f t="shared" si="9"/>
        <v>1.007996306347902E-12</v>
      </c>
      <c r="EK171" s="185">
        <f t="shared" si="9"/>
        <v>4.0020478454520173E-8</v>
      </c>
      <c r="EL171" s="185">
        <f t="shared" si="9"/>
        <v>3.662258309960804E-13</v>
      </c>
      <c r="EM171" s="185">
        <f t="shared" si="9"/>
        <v>3.1509617581382565E-3</v>
      </c>
      <c r="EN171" s="185">
        <f t="shared" si="9"/>
        <v>6.0850280656441252E-19</v>
      </c>
      <c r="EO171" s="185">
        <f t="shared" si="9"/>
        <v>2.5501202414292897E-4</v>
      </c>
      <c r="EP171" s="185">
        <f t="shared" si="9"/>
        <v>1.7964849593601937E-8</v>
      </c>
      <c r="EQ171" s="185">
        <f t="shared" si="9"/>
        <v>3.3840029562933346E-3</v>
      </c>
      <c r="ER171" s="185">
        <f t="shared" si="9"/>
        <v>1.4616833282436026E-24</v>
      </c>
      <c r="ES171" s="185">
        <f t="shared" si="9"/>
        <v>2.7442249840885669E-4</v>
      </c>
      <c r="ET171" s="185">
        <f t="shared" si="9"/>
        <v>4.254397429802735E-8</v>
      </c>
      <c r="EU171" s="185">
        <f t="shared" si="9"/>
        <v>0.12102479658365745</v>
      </c>
      <c r="EV171" s="185">
        <f t="shared" si="9"/>
        <v>6.2844215447922024E-31</v>
      </c>
      <c r="EW171" s="185">
        <f t="shared" si="9"/>
        <v>4.5775917825922219E-2</v>
      </c>
      <c r="EX171" s="185">
        <f t="shared" si="9"/>
        <v>4.2547210546579695E-3</v>
      </c>
      <c r="EY171" s="185">
        <f t="shared" si="9"/>
        <v>3.6385223723863353E-12</v>
      </c>
      <c r="EZ171" s="185">
        <f t="shared" si="9"/>
        <v>2.3237901522119099E-17</v>
      </c>
      <c r="FA171" s="185">
        <f t="shared" si="9"/>
        <v>2.7789006068545174E-7</v>
      </c>
      <c r="FB171" s="192">
        <f t="shared" si="9"/>
        <v>4.0649896311624728E-8</v>
      </c>
    </row>
    <row r="172" spans="2:160" ht="12.75" customHeight="1" x14ac:dyDescent="0.3">
      <c r="B172" s="197" t="s">
        <v>4114</v>
      </c>
      <c r="C172" s="441">
        <f>SUM(D172:FB172)</f>
        <v>0.99999999999999989</v>
      </c>
      <c r="D172" s="198">
        <f t="shared" ref="D172:AI172" si="10">D168/SUM($D$168:$FB$168)</f>
        <v>1.5540629673034961E-26</v>
      </c>
      <c r="E172" s="198">
        <f t="shared" si="10"/>
        <v>5.9700828385706795E-11</v>
      </c>
      <c r="F172" s="198">
        <f t="shared" si="10"/>
        <v>3.6249092462843186E-10</v>
      </c>
      <c r="G172" s="198">
        <f t="shared" si="10"/>
        <v>1.1501828476028021E-13</v>
      </c>
      <c r="H172" s="198">
        <f t="shared" si="10"/>
        <v>7.8260554651776641E-13</v>
      </c>
      <c r="I172" s="198">
        <f t="shared" si="10"/>
        <v>8.5658421260055806E-13</v>
      </c>
      <c r="J172" s="198">
        <f t="shared" si="10"/>
        <v>1.1501825025479478E-13</v>
      </c>
      <c r="K172" s="198">
        <f t="shared" si="10"/>
        <v>2.8412766477459325E-10</v>
      </c>
      <c r="L172" s="198">
        <f t="shared" si="10"/>
        <v>1.7866160754553244E-14</v>
      </c>
      <c r="M172" s="198">
        <f t="shared" si="10"/>
        <v>9.8919019554663501E-8</v>
      </c>
      <c r="N172" s="198">
        <f t="shared" si="10"/>
        <v>2.6277422081884077E-10</v>
      </c>
      <c r="O172" s="198">
        <f t="shared" si="10"/>
        <v>1.1334375765063397E-10</v>
      </c>
      <c r="P172" s="198">
        <f t="shared" si="10"/>
        <v>5.9922334834001313E-11</v>
      </c>
      <c r="Q172" s="198">
        <f t="shared" si="10"/>
        <v>9.3512564965626088E-8</v>
      </c>
      <c r="R172" s="198">
        <f t="shared" si="10"/>
        <v>1.1957444745924299E-9</v>
      </c>
      <c r="S172" s="198">
        <f t="shared" si="10"/>
        <v>1.6742347607372423E-8</v>
      </c>
      <c r="T172" s="198">
        <f t="shared" si="10"/>
        <v>1.9121098781183915E-15</v>
      </c>
      <c r="U172" s="198">
        <f t="shared" si="10"/>
        <v>6.3175645756264566E-9</v>
      </c>
      <c r="V172" s="198">
        <f t="shared" si="10"/>
        <v>5.2955598209165429E-11</v>
      </c>
      <c r="W172" s="198">
        <f t="shared" si="10"/>
        <v>9.2910298240917736E-12</v>
      </c>
      <c r="X172" s="198">
        <f t="shared" si="10"/>
        <v>1.1948710646501514E-22</v>
      </c>
      <c r="Y172" s="198">
        <f t="shared" si="10"/>
        <v>1.6758939192930317E-8</v>
      </c>
      <c r="Z172" s="198">
        <f t="shared" si="10"/>
        <v>2.669101976480333E-8</v>
      </c>
      <c r="AA172" s="198">
        <f t="shared" si="10"/>
        <v>4.6043447371426716E-11</v>
      </c>
      <c r="AB172" s="198">
        <f t="shared" si="10"/>
        <v>1.3357139820348448E-17</v>
      </c>
      <c r="AC172" s="198">
        <f t="shared" si="10"/>
        <v>5.1991458886773403E-8</v>
      </c>
      <c r="AD172" s="198">
        <f t="shared" si="10"/>
        <v>3.98580205142623E-7</v>
      </c>
      <c r="AE172" s="198">
        <f t="shared" si="10"/>
        <v>1.7963501636220756E-9</v>
      </c>
      <c r="AF172" s="198">
        <f t="shared" si="10"/>
        <v>2.5576264098248422E-24</v>
      </c>
      <c r="AG172" s="198">
        <f t="shared" si="10"/>
        <v>3.1611916820004473E-9</v>
      </c>
      <c r="AH172" s="198">
        <f t="shared" si="10"/>
        <v>1.5886517548485147E-8</v>
      </c>
      <c r="AI172" s="198">
        <f t="shared" si="10"/>
        <v>1.5465478144570023E-11</v>
      </c>
      <c r="AJ172" s="198">
        <f t="shared" ref="AJ172:BO172" si="11">AJ168/SUM($D$168:$FB$168)</f>
        <v>5.4013186784544034E-16</v>
      </c>
      <c r="AK172" s="198">
        <f t="shared" si="11"/>
        <v>6.8669131872824002E-10</v>
      </c>
      <c r="AL172" s="198">
        <f t="shared" si="11"/>
        <v>7.3015114828998887E-7</v>
      </c>
      <c r="AM172" s="198">
        <f t="shared" si="11"/>
        <v>3.8508243217333793E-9</v>
      </c>
      <c r="AN172" s="198">
        <f t="shared" si="11"/>
        <v>3.2028405315910514E-14</v>
      </c>
      <c r="AO172" s="198">
        <f t="shared" si="11"/>
        <v>5.0903697317202744E-8</v>
      </c>
      <c r="AP172" s="198">
        <f t="shared" si="11"/>
        <v>8.2757524130215053E-5</v>
      </c>
      <c r="AQ172" s="198">
        <f t="shared" si="11"/>
        <v>5.7279548683592677E-12</v>
      </c>
      <c r="AR172" s="198">
        <f t="shared" si="11"/>
        <v>2.000488399427557E-16</v>
      </c>
      <c r="AS172" s="198">
        <f t="shared" si="11"/>
        <v>2.5433011804749632E-10</v>
      </c>
      <c r="AT172" s="198">
        <f t="shared" si="11"/>
        <v>2.7042635121851445E-7</v>
      </c>
      <c r="AU172" s="198">
        <f t="shared" si="11"/>
        <v>8.4209193417054878E-25</v>
      </c>
      <c r="AV172" s="198">
        <f t="shared" si="11"/>
        <v>9.5255390473567364E-12</v>
      </c>
      <c r="AW172" s="198">
        <f t="shared" si="11"/>
        <v>1.5635677841634871E-9</v>
      </c>
      <c r="AX172" s="198">
        <f t="shared" si="11"/>
        <v>3.4315658391587365E-14</v>
      </c>
      <c r="AY172" s="198">
        <f t="shared" si="11"/>
        <v>1.248682789436421E-13</v>
      </c>
      <c r="AZ172" s="198">
        <f t="shared" si="11"/>
        <v>3.6947889953883559E-12</v>
      </c>
      <c r="BA172" s="198">
        <f t="shared" si="11"/>
        <v>3.4315648096889853E-14</v>
      </c>
      <c r="BB172" s="198">
        <f t="shared" si="11"/>
        <v>1.7663849927501594E-12</v>
      </c>
      <c r="BC172" s="198">
        <f t="shared" si="11"/>
        <v>1.386082495304168E-15</v>
      </c>
      <c r="BD172" s="198">
        <f t="shared" si="11"/>
        <v>1.0854279045316566E-8</v>
      </c>
      <c r="BE172" s="198">
        <f t="shared" si="11"/>
        <v>1.5466691320786692E-12</v>
      </c>
      <c r="BF172" s="198">
        <f t="shared" si="11"/>
        <v>5.601902468888582E-13</v>
      </c>
      <c r="BG172" s="198">
        <f t="shared" si="11"/>
        <v>1.3696123678213463E-14</v>
      </c>
      <c r="BH172" s="198">
        <f t="shared" si="11"/>
        <v>4.9936623082538445E-9</v>
      </c>
      <c r="BI172" s="198">
        <f t="shared" si="11"/>
        <v>4.9813036845175198E-12</v>
      </c>
      <c r="BJ172" s="198">
        <f t="shared" si="11"/>
        <v>1.381185026224247E-3</v>
      </c>
      <c r="BK172" s="198">
        <f t="shared" si="11"/>
        <v>8.883484078927474E-15</v>
      </c>
      <c r="BL172" s="198">
        <f t="shared" si="11"/>
        <v>1.1181145868476242E-4</v>
      </c>
      <c r="BM172" s="198">
        <f t="shared" si="11"/>
        <v>4.3808003803886277E-9</v>
      </c>
      <c r="BN172" s="198">
        <f t="shared" si="11"/>
        <v>1.1874480682336433E-13</v>
      </c>
      <c r="BO172" s="198">
        <f t="shared" si="11"/>
        <v>9.2699826381795654E-24</v>
      </c>
      <c r="BP172" s="198">
        <f t="shared" ref="BP172:CU172" si="12">BP168/SUM($D$168:$FB$168)</f>
        <v>1.8524654942685012E-9</v>
      </c>
      <c r="BQ172" s="198">
        <f t="shared" si="12"/>
        <v>1.5825675337650851E-10</v>
      </c>
      <c r="BR172" s="198">
        <f t="shared" si="12"/>
        <v>2.3096782677275537E-13</v>
      </c>
      <c r="BS172" s="198">
        <f t="shared" si="12"/>
        <v>3.0529691386937965E-21</v>
      </c>
      <c r="BT172" s="198">
        <f t="shared" si="12"/>
        <v>2.7763918223947143E-9</v>
      </c>
      <c r="BU172" s="198">
        <f t="shared" si="12"/>
        <v>1.6604289447369437E-9</v>
      </c>
      <c r="BV172" s="198">
        <f t="shared" si="12"/>
        <v>7.4094628044009068E-6</v>
      </c>
      <c r="BW172" s="198">
        <f t="shared" si="12"/>
        <v>5.9412468267465925E-25</v>
      </c>
      <c r="BX172" s="198">
        <f t="shared" si="12"/>
        <v>2.7974185997026845E-6</v>
      </c>
      <c r="BY172" s="198">
        <f t="shared" si="12"/>
        <v>6.5711335973192095E-8</v>
      </c>
      <c r="BZ172" s="198">
        <f t="shared" si="12"/>
        <v>1.3496222481066994E-12</v>
      </c>
      <c r="CA172" s="198">
        <f t="shared" si="12"/>
        <v>4.1910718456519837E-17</v>
      </c>
      <c r="CB172" s="198">
        <f t="shared" si="12"/>
        <v>6.7630175464161417E-10</v>
      </c>
      <c r="CC172" s="198">
        <f t="shared" si="12"/>
        <v>6.3101552303424613E-8</v>
      </c>
      <c r="CD172" s="198">
        <f t="shared" si="12"/>
        <v>1.441317194149028E-11</v>
      </c>
      <c r="CE172" s="198">
        <f t="shared" si="12"/>
        <v>9.3134986128792618E-17</v>
      </c>
      <c r="CF172" s="198">
        <f t="shared" si="12"/>
        <v>3.3028641205005395E-9</v>
      </c>
      <c r="CG172" s="198">
        <f t="shared" si="12"/>
        <v>3.0663911421804985E-7</v>
      </c>
      <c r="CH172" s="198">
        <f t="shared" si="12"/>
        <v>4.998600918913699E-13</v>
      </c>
      <c r="CI172" s="198">
        <f t="shared" si="12"/>
        <v>1.5522488317229566E-17</v>
      </c>
      <c r="CJ172" s="198">
        <f t="shared" si="12"/>
        <v>2.5048213134874593E-10</v>
      </c>
      <c r="CK172" s="198">
        <f t="shared" si="12"/>
        <v>2.337094529756467E-8</v>
      </c>
      <c r="CL172" s="198">
        <f t="shared" si="12"/>
        <v>5.7145017118422562E-23</v>
      </c>
      <c r="CM172" s="198">
        <f t="shared" si="12"/>
        <v>2.2515953462621424E-13</v>
      </c>
      <c r="CN172" s="198">
        <f t="shared" si="12"/>
        <v>1.2600238024336211E-9</v>
      </c>
      <c r="CO172" s="198">
        <f t="shared" si="12"/>
        <v>1.1032012868906324E-15</v>
      </c>
      <c r="CP172" s="198">
        <f t="shared" si="12"/>
        <v>2.9515687707278395E-15</v>
      </c>
      <c r="CQ172" s="198">
        <f t="shared" si="12"/>
        <v>2.977499361596179E-12</v>
      </c>
      <c r="CR172" s="198">
        <f t="shared" si="12"/>
        <v>1.1032009559302466E-15</v>
      </c>
      <c r="CS172" s="198">
        <f t="shared" si="12"/>
        <v>7.2141692119573487E-3</v>
      </c>
      <c r="CT172" s="198">
        <f t="shared" si="12"/>
        <v>2.0359712271676006E-16</v>
      </c>
      <c r="CU172" s="198">
        <f t="shared" si="12"/>
        <v>5.8298107622147325E-4</v>
      </c>
      <c r="CV172" s="198">
        <f t="shared" ref="CV172:EA172" si="13">CV168/SUM($D$168:$FB$168)</f>
        <v>2.0477175381291261E-8</v>
      </c>
      <c r="CW172" s="198">
        <f t="shared" si="13"/>
        <v>0.21642534895195495</v>
      </c>
      <c r="CX172" s="198">
        <f t="shared" si="13"/>
        <v>1.6811169100436148E-20</v>
      </c>
      <c r="CY172" s="198">
        <f t="shared" si="13"/>
        <v>1.7518951126305544E-2</v>
      </c>
      <c r="CZ172" s="198">
        <f t="shared" si="13"/>
        <v>1.2416080899366214E-6</v>
      </c>
      <c r="DA172" s="198">
        <f t="shared" si="13"/>
        <v>7.7401920225667964E-5</v>
      </c>
      <c r="DB172" s="198">
        <f t="shared" si="13"/>
        <v>7.4955054559273289E-32</v>
      </c>
      <c r="DC172" s="198">
        <f t="shared" si="13"/>
        <v>2.9220523134499259E-5</v>
      </c>
      <c r="DD172" s="198">
        <f t="shared" si="13"/>
        <v>1.2415954355366504E-6</v>
      </c>
      <c r="DE172" s="198">
        <f t="shared" si="13"/>
        <v>1.7250991450373175E-13</v>
      </c>
      <c r="DF172" s="198">
        <f t="shared" si="13"/>
        <v>3.7888894394479341E-18</v>
      </c>
      <c r="DG172" s="198">
        <f t="shared" si="13"/>
        <v>1.9964355262371119E-9</v>
      </c>
      <c r="DH172" s="198">
        <f t="shared" si="13"/>
        <v>6.1557041707401781E-9</v>
      </c>
      <c r="DI172" s="198">
        <f t="shared" si="13"/>
        <v>2.4887992513347585E-24</v>
      </c>
      <c r="DJ172" s="198">
        <f t="shared" si="13"/>
        <v>1.522774742513546E-15</v>
      </c>
      <c r="DK172" s="198">
        <f t="shared" si="13"/>
        <v>3.0225626838958836E-10</v>
      </c>
      <c r="DL172" s="198">
        <f t="shared" si="13"/>
        <v>2.3064091640003925E-17</v>
      </c>
      <c r="DM172" s="198">
        <f t="shared" si="13"/>
        <v>3.6611831031946817E-17</v>
      </c>
      <c r="DN172" s="198">
        <f t="shared" si="13"/>
        <v>1.2474916908011437E-12</v>
      </c>
      <c r="DO172" s="198">
        <f t="shared" si="13"/>
        <v>2.3064084720776436E-17</v>
      </c>
      <c r="DP172" s="198">
        <f t="shared" si="13"/>
        <v>5.7792267933851988E-3</v>
      </c>
      <c r="DQ172" s="198">
        <f t="shared" si="13"/>
        <v>1.658287967527518E-18</v>
      </c>
      <c r="DR172" s="198">
        <f t="shared" si="13"/>
        <v>4.6615611876909093E-4</v>
      </c>
      <c r="DS172" s="198">
        <f t="shared" si="13"/>
        <v>7.832774342519205E-9</v>
      </c>
      <c r="DT172" s="198">
        <f t="shared" si="13"/>
        <v>0.14229153210867879</v>
      </c>
      <c r="DU172" s="198">
        <f t="shared" si="13"/>
        <v>1.6027909281159853E-22</v>
      </c>
      <c r="DV172" s="198">
        <f t="shared" si="13"/>
        <v>1.1498118908385334E-2</v>
      </c>
      <c r="DW172" s="198">
        <f t="shared" si="13"/>
        <v>4.0341228077119014E-7</v>
      </c>
      <c r="DX172" s="198">
        <f t="shared" si="13"/>
        <v>5.0888852241367549E-5</v>
      </c>
      <c r="DY172" s="198">
        <f t="shared" si="13"/>
        <v>7.6288444780543166E-34</v>
      </c>
      <c r="DZ172" s="198">
        <f t="shared" si="13"/>
        <v>1.9178148688434054E-5</v>
      </c>
      <c r="EA172" s="198">
        <f t="shared" si="13"/>
        <v>4.0340816921586488E-7</v>
      </c>
      <c r="EB172" s="198">
        <f t="shared" ref="EB172:FB172" si="14">EB168/SUM($D$168:$FB$168)</f>
        <v>5.3514564301268014E-14</v>
      </c>
      <c r="EC172" s="198">
        <f t="shared" si="14"/>
        <v>1.9686476283914469E-20</v>
      </c>
      <c r="ED172" s="198">
        <f t="shared" si="14"/>
        <v>8.7913679460415367E-10</v>
      </c>
      <c r="EE172" s="198">
        <f t="shared" si="14"/>
        <v>3.2355011674260037E-11</v>
      </c>
      <c r="EF172" s="198">
        <f t="shared" si="14"/>
        <v>1.2766478421136895E-21</v>
      </c>
      <c r="EG172" s="198">
        <f t="shared" si="14"/>
        <v>2.5016548339270622E-15</v>
      </c>
      <c r="EH172" s="198">
        <f t="shared" si="14"/>
        <v>5.3469253493821164E-10</v>
      </c>
      <c r="EI172" s="198">
        <f t="shared" si="14"/>
        <v>8.2691352305672269E-18</v>
      </c>
      <c r="EJ172" s="198">
        <f t="shared" si="14"/>
        <v>2.275987809449452E-17</v>
      </c>
      <c r="EK172" s="198">
        <f t="shared" si="14"/>
        <v>9.0363546490402231E-13</v>
      </c>
      <c r="EL172" s="198">
        <f t="shared" si="14"/>
        <v>8.2691327498266593E-18</v>
      </c>
      <c r="EM172" s="198">
        <f t="shared" si="14"/>
        <v>1.660087726878463E-2</v>
      </c>
      <c r="EN172" s="198">
        <f t="shared" si="14"/>
        <v>3.2059038429763035E-18</v>
      </c>
      <c r="EO172" s="198">
        <f t="shared" si="14"/>
        <v>1.3435337017109409E-3</v>
      </c>
      <c r="EP172" s="198">
        <f t="shared" si="14"/>
        <v>9.4648011035135987E-8</v>
      </c>
      <c r="EQ172" s="198">
        <f t="shared" si="14"/>
        <v>0.5348597228405183</v>
      </c>
      <c r="ER172" s="198">
        <f t="shared" si="14"/>
        <v>2.3102684894853604E-22</v>
      </c>
      <c r="ES172" s="198">
        <f t="shared" si="14"/>
        <v>4.3373940075080893E-2</v>
      </c>
      <c r="ET172" s="198">
        <f t="shared" si="14"/>
        <v>6.724302134328446E-6</v>
      </c>
      <c r="EU172" s="198">
        <f t="shared" si="14"/>
        <v>1.9128614836811048E-4</v>
      </c>
      <c r="EV172" s="198">
        <f t="shared" si="14"/>
        <v>9.9328635615091764E-34</v>
      </c>
      <c r="EW172" s="198">
        <f t="shared" si="14"/>
        <v>7.2351280531862482E-5</v>
      </c>
      <c r="EX172" s="198">
        <f t="shared" si="14"/>
        <v>6.7248136406793898E-6</v>
      </c>
      <c r="EY172" s="198">
        <f t="shared" si="14"/>
        <v>4.1077705325800635E-15</v>
      </c>
      <c r="EZ172" s="198">
        <f t="shared" si="14"/>
        <v>2.6234816593680355E-20</v>
      </c>
      <c r="FA172" s="198">
        <f t="shared" si="14"/>
        <v>3.1372861995951464E-10</v>
      </c>
      <c r="FB172" s="387">
        <f t="shared" si="14"/>
        <v>4.5892378589886876E-11</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6.044109833284005E-33</v>
      </c>
      <c r="E176" s="184">
        <f t="shared" ref="E176:AJ176" si="15">E9*E$168</f>
        <v>0</v>
      </c>
      <c r="F176" s="184">
        <f t="shared" si="15"/>
        <v>0</v>
      </c>
      <c r="G176" s="184">
        <f t="shared" si="15"/>
        <v>0</v>
      </c>
      <c r="H176" s="184">
        <f t="shared" si="15"/>
        <v>0</v>
      </c>
      <c r="I176" s="184">
        <f t="shared" si="15"/>
        <v>0</v>
      </c>
      <c r="J176" s="184">
        <f t="shared" si="15"/>
        <v>0</v>
      </c>
      <c r="K176" s="184">
        <f t="shared" si="15"/>
        <v>3.5422292649326451E-22</v>
      </c>
      <c r="L176" s="184">
        <f t="shared" si="15"/>
        <v>0</v>
      </c>
      <c r="M176" s="184">
        <f t="shared" si="15"/>
        <v>0</v>
      </c>
      <c r="N176" s="184">
        <f t="shared" si="15"/>
        <v>0</v>
      </c>
      <c r="O176" s="184">
        <f t="shared" si="15"/>
        <v>4.7033835462309268E-21</v>
      </c>
      <c r="P176" s="184">
        <f t="shared" si="15"/>
        <v>0</v>
      </c>
      <c r="Q176" s="184">
        <f t="shared" si="15"/>
        <v>0</v>
      </c>
      <c r="R176" s="184">
        <f t="shared" si="15"/>
        <v>0</v>
      </c>
      <c r="S176" s="184">
        <f t="shared" si="15"/>
        <v>2.0863355756456053E-19</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2.6128363226388188E-22</v>
      </c>
      <c r="AJ176" s="184">
        <f t="shared" si="15"/>
        <v>0</v>
      </c>
      <c r="AK176" s="184">
        <f t="shared" ref="AK176:BP176" si="16">AK9*AK$168</f>
        <v>0</v>
      </c>
      <c r="AL176" s="184">
        <f t="shared" si="16"/>
        <v>0</v>
      </c>
      <c r="AM176" s="184">
        <f t="shared" si="16"/>
        <v>2.9605044545545662E-20</v>
      </c>
      <c r="AN176" s="184">
        <f t="shared" si="16"/>
        <v>0</v>
      </c>
      <c r="AO176" s="184">
        <f t="shared" si="16"/>
        <v>0</v>
      </c>
      <c r="AP176" s="184">
        <f t="shared" si="16"/>
        <v>0</v>
      </c>
      <c r="AQ176" s="184">
        <f t="shared" si="16"/>
        <v>9.6771715653289577E-23</v>
      </c>
      <c r="AR176" s="184">
        <f t="shared" si="16"/>
        <v>0</v>
      </c>
      <c r="AS176" s="184">
        <f t="shared" si="16"/>
        <v>0</v>
      </c>
      <c r="AT176" s="184">
        <f t="shared" si="16"/>
        <v>0</v>
      </c>
      <c r="AU176" s="184">
        <f t="shared" si="16"/>
        <v>4.2851417092697849E-16</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6.6944902535023516</v>
      </c>
      <c r="D177" s="190">
        <f t="shared" ref="D177:D208" si="20">D10*D$168</f>
        <v>0</v>
      </c>
      <c r="E177" s="189">
        <f>$C177+SUM($D177:D177,F177:$FB177)-SUM(E$176:E176,E178:E$330)-E$331</f>
        <v>1.6742656523335842E-15</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4.8472480282466882E-3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5.2848038055622704</v>
      </c>
      <c r="F178" s="189">
        <f>$C178+SUM($D178:E178,G178:$FB178)-SUM(F$176:F177,F179:F$330)-F$331</f>
        <v>-9.8871106614384363E-16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0.79565060004867871</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1.6429330929578281E-2</v>
      </c>
      <c r="F179" s="184">
        <f t="shared" ref="F179:F210" si="32">F12*F$168</f>
        <v>0</v>
      </c>
      <c r="G179" s="189">
        <f>$C179+SUM($D179:F179,H179:$FB179)-SUM(G$176:G178,G180:G$330)-G$331</f>
        <v>2.2663425294972873E-19</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1.746216215687719E-5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9.8091990748015431E-2</v>
      </c>
      <c r="F180" s="190">
        <f t="shared" si="32"/>
        <v>0</v>
      </c>
      <c r="G180" s="190">
        <f t="shared" ref="G180:G211" si="38">G13*G$168</f>
        <v>0</v>
      </c>
      <c r="H180" s="189">
        <f>$C180+SUM($D180:G180,I180:$FB180)-SUM(H$176:H179,H181:H$330)-H$331</f>
        <v>0</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0.10736449675213561</v>
      </c>
      <c r="G181" s="190">
        <f t="shared" si="38"/>
        <v>0</v>
      </c>
      <c r="H181" s="190">
        <f t="shared" ref="H181:H212" si="44">H14*H$168</f>
        <v>0</v>
      </c>
      <c r="I181" s="189">
        <f>$C181+SUM($D181:H181,J181:$FB181)-SUM(I$176:I180,I182:I$330)-I$331</f>
        <v>2.7755575615628914E-17</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1.4416418577721038E-2</v>
      </c>
      <c r="H182" s="190">
        <f t="shared" si="44"/>
        <v>0</v>
      </c>
      <c r="I182" s="184">
        <f t="shared" ref="I182:I213" si="50">I15*I$168</f>
        <v>0</v>
      </c>
      <c r="J182" s="189">
        <f>$C182+SUM($D182:I182,K182:$FB182)-SUM(J$176:J181,J183:J$330)-J$331</f>
        <v>1.7347234759768071E-18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4.499096059842819E-19</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3.6100905924046194E-19</v>
      </c>
      <c r="L183" s="184">
        <f t="shared" ref="L183:AQ183" si="57">L16*L$168</f>
        <v>3.0265758031246398E-12</v>
      </c>
      <c r="M183" s="184">
        <f t="shared" si="57"/>
        <v>1.6757148621124897E-5</v>
      </c>
      <c r="N183" s="184">
        <f t="shared" si="57"/>
        <v>4.4514661506812436E-8</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1.0248460461314737E-5</v>
      </c>
      <c r="AJ183" s="184">
        <f t="shared" si="57"/>
        <v>0</v>
      </c>
      <c r="AK183" s="184">
        <f t="shared" si="57"/>
        <v>0</v>
      </c>
      <c r="AL183" s="184">
        <f t="shared" si="57"/>
        <v>0</v>
      </c>
      <c r="AM183" s="184">
        <f t="shared" si="57"/>
        <v>1.1612136812843409E-3</v>
      </c>
      <c r="AN183" s="184">
        <f t="shared" si="57"/>
        <v>0</v>
      </c>
      <c r="AO183" s="184">
        <f t="shared" si="57"/>
        <v>0</v>
      </c>
      <c r="AP183" s="184">
        <f t="shared" si="57"/>
        <v>0</v>
      </c>
      <c r="AQ183" s="184">
        <f t="shared" si="57"/>
        <v>3.7957260967832354E-6</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1.5538066616797002E-3</v>
      </c>
      <c r="F184" s="190">
        <f t="shared" si="32"/>
        <v>0</v>
      </c>
      <c r="G184" s="190">
        <f t="shared" si="38"/>
        <v>0</v>
      </c>
      <c r="H184" s="190">
        <f t="shared" si="44"/>
        <v>2.4416176248283621E-4</v>
      </c>
      <c r="I184" s="184">
        <f t="shared" si="50"/>
        <v>0</v>
      </c>
      <c r="J184" s="190">
        <f t="shared" si="56"/>
        <v>0</v>
      </c>
      <c r="K184" s="190">
        <f t="shared" ref="K184:K215" si="62">K17*K$168</f>
        <v>0</v>
      </c>
      <c r="L184" s="189">
        <f>$C184+SUM($D184:K184,M184:$FB184)-SUM(L$176:L183,L185:L$330)-L$331</f>
        <v>-8.6736173798840355E-19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1.0755187904215309E-8</v>
      </c>
      <c r="AK184" s="184">
        <f t="shared" si="63"/>
        <v>0</v>
      </c>
      <c r="AL184" s="184">
        <f t="shared" si="63"/>
        <v>0</v>
      </c>
      <c r="AM184" s="184">
        <f t="shared" si="63"/>
        <v>0</v>
      </c>
      <c r="AN184" s="184">
        <f t="shared" si="63"/>
        <v>2.9019523587004055E-7</v>
      </c>
      <c r="AO184" s="184">
        <f t="shared" si="63"/>
        <v>0</v>
      </c>
      <c r="AP184" s="184">
        <f t="shared" si="63"/>
        <v>0</v>
      </c>
      <c r="AQ184" s="184">
        <f t="shared" si="63"/>
        <v>0</v>
      </c>
      <c r="AR184" s="184">
        <f t="shared" si="63"/>
        <v>3.9834029274871516E-9</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1.9153357999764169E-3</v>
      </c>
      <c r="G185" s="190">
        <f t="shared" si="38"/>
        <v>0</v>
      </c>
      <c r="H185" s="190">
        <f t="shared" si="44"/>
        <v>0</v>
      </c>
      <c r="I185" s="184">
        <f t="shared" si="50"/>
        <v>2.672420506015118E-4</v>
      </c>
      <c r="J185" s="190">
        <f t="shared" si="56"/>
        <v>0</v>
      </c>
      <c r="K185" s="190">
        <f t="shared" si="62"/>
        <v>0</v>
      </c>
      <c r="L185" s="190">
        <f t="shared" ref="L185:L216" si="68">L18*L$168</f>
        <v>1.7955818831615661E-3</v>
      </c>
      <c r="M185" s="189">
        <f>$C185+SUM($D185:L185,N185:$FB185)-SUM(M$176:M184,M186:M$330)-M$331</f>
        <v>1.1102230246251565E-16</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1.3673501981240253E-2</v>
      </c>
      <c r="AL185" s="184">
        <f t="shared" si="69"/>
        <v>0</v>
      </c>
      <c r="AM185" s="184">
        <f t="shared" si="69"/>
        <v>0</v>
      </c>
      <c r="AN185" s="184">
        <f t="shared" si="69"/>
        <v>0</v>
      </c>
      <c r="AO185" s="184">
        <f t="shared" si="69"/>
        <v>0.461215920802795</v>
      </c>
      <c r="AP185" s="184">
        <f t="shared" si="69"/>
        <v>0</v>
      </c>
      <c r="AQ185" s="184">
        <f t="shared" si="69"/>
        <v>0</v>
      </c>
      <c r="AR185" s="184">
        <f t="shared" si="69"/>
        <v>0</v>
      </c>
      <c r="AS185" s="184">
        <f t="shared" si="69"/>
        <v>5.064259993051946E-3</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4.8498849705451123E-7</v>
      </c>
      <c r="H186" s="190">
        <f t="shared" si="44"/>
        <v>0</v>
      </c>
      <c r="I186" s="184">
        <f t="shared" si="50"/>
        <v>0</v>
      </c>
      <c r="J186" s="190">
        <f t="shared" si="56"/>
        <v>3.5884052732387688E-5</v>
      </c>
      <c r="K186" s="190">
        <f t="shared" si="62"/>
        <v>0</v>
      </c>
      <c r="L186" s="190">
        <f t="shared" si="68"/>
        <v>2.6188636967999104E-6</v>
      </c>
      <c r="M186" s="190">
        <f t="shared" ref="M186:M217" si="74">M19*M$168</f>
        <v>0</v>
      </c>
      <c r="N186" s="189">
        <f>$C186+SUM($D186:M186,O186:$FB186)-SUM(N$176:N185,N187:N$330)-N$331</f>
        <v>-2.7755575615628914E-17</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2.4920433655207471E-3</v>
      </c>
      <c r="AM186" s="184">
        <f t="shared" si="75"/>
        <v>0</v>
      </c>
      <c r="AN186" s="184">
        <f t="shared" si="75"/>
        <v>0</v>
      </c>
      <c r="AO186" s="184">
        <f t="shared" si="75"/>
        <v>0</v>
      </c>
      <c r="AP186" s="184">
        <f t="shared" si="75"/>
        <v>0.12853265299408145</v>
      </c>
      <c r="AQ186" s="184">
        <f t="shared" si="75"/>
        <v>0</v>
      </c>
      <c r="AR186" s="184">
        <f t="shared" si="75"/>
        <v>0</v>
      </c>
      <c r="AS186" s="184">
        <f t="shared" si="75"/>
        <v>0</v>
      </c>
      <c r="AT186" s="184">
        <f t="shared" si="75"/>
        <v>9.2297902426694358E-4</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4.9490056658271011E-18</v>
      </c>
      <c r="E187" s="190">
        <f t="shared" si="26"/>
        <v>0</v>
      </c>
      <c r="F187" s="190">
        <f t="shared" si="32"/>
        <v>0</v>
      </c>
      <c r="G187" s="190">
        <f t="shared" si="38"/>
        <v>0</v>
      </c>
      <c r="H187" s="190">
        <f t="shared" si="44"/>
        <v>0</v>
      </c>
      <c r="I187" s="184">
        <f t="shared" si="50"/>
        <v>0</v>
      </c>
      <c r="J187" s="190">
        <f t="shared" si="56"/>
        <v>0</v>
      </c>
      <c r="K187" s="190">
        <f t="shared" si="62"/>
        <v>1.1538491349561591E-3</v>
      </c>
      <c r="L187" s="190">
        <f t="shared" si="68"/>
        <v>0</v>
      </c>
      <c r="M187" s="190">
        <f t="shared" si="74"/>
        <v>0</v>
      </c>
      <c r="N187" s="190">
        <f t="shared" ref="N187:N218" si="80">N20*N$168</f>
        <v>0</v>
      </c>
      <c r="O187" s="189">
        <f>$C187+SUM($D187:N187,P187:$FB187)-SUM(O$176:O186,O188:O$330)-O$331</f>
        <v>-4.7666685575622976E-18</v>
      </c>
      <c r="P187" s="184">
        <f t="shared" ref="P187:AU187" si="81">P20*P$168</f>
        <v>1.0151005085359544E-8</v>
      </c>
      <c r="Q187" s="184">
        <f t="shared" si="81"/>
        <v>1.5841280636689424E-5</v>
      </c>
      <c r="R187" s="184">
        <f t="shared" si="81"/>
        <v>2.0256233799973609E-7</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4.839918787559884E-3</v>
      </c>
      <c r="AB187" s="184">
        <f t="shared" si="81"/>
        <v>0</v>
      </c>
      <c r="AC187" s="184">
        <f t="shared" si="81"/>
        <v>0</v>
      </c>
      <c r="AD187" s="184">
        <f t="shared" si="81"/>
        <v>0</v>
      </c>
      <c r="AE187" s="184">
        <f t="shared" si="81"/>
        <v>0</v>
      </c>
      <c r="AF187" s="184">
        <f t="shared" si="81"/>
        <v>0</v>
      </c>
      <c r="AG187" s="184">
        <f t="shared" si="81"/>
        <v>0</v>
      </c>
      <c r="AH187" s="184">
        <f t="shared" si="81"/>
        <v>0</v>
      </c>
      <c r="AI187" s="184">
        <f t="shared" si="81"/>
        <v>1.1273306507446211E-4</v>
      </c>
      <c r="AJ187" s="184">
        <f t="shared" si="81"/>
        <v>0</v>
      </c>
      <c r="AK187" s="184">
        <f t="shared" si="81"/>
        <v>0</v>
      </c>
      <c r="AL187" s="184">
        <f t="shared" si="81"/>
        <v>0</v>
      </c>
      <c r="AM187" s="184">
        <f t="shared" si="81"/>
        <v>1.277335049412775E-2</v>
      </c>
      <c r="AN187" s="184">
        <f t="shared" si="81"/>
        <v>0</v>
      </c>
      <c r="AO187" s="184">
        <f t="shared" si="81"/>
        <v>0</v>
      </c>
      <c r="AP187" s="184">
        <f t="shared" si="81"/>
        <v>0</v>
      </c>
      <c r="AQ187" s="184">
        <f t="shared" si="81"/>
        <v>4.1752987064615593E-5</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6.6944902535023516</v>
      </c>
      <c r="D188" s="190">
        <f t="shared" si="20"/>
        <v>0</v>
      </c>
      <c r="E188" s="190">
        <f t="shared" si="26"/>
        <v>1.7091873278476704E-2</v>
      </c>
      <c r="F188" s="190">
        <f t="shared" si="32"/>
        <v>0</v>
      </c>
      <c r="G188" s="190">
        <f t="shared" si="38"/>
        <v>0</v>
      </c>
      <c r="H188" s="190">
        <f t="shared" si="44"/>
        <v>2.6857793873111984E-3</v>
      </c>
      <c r="I188" s="184">
        <f t="shared" si="50"/>
        <v>0</v>
      </c>
      <c r="J188" s="190">
        <f t="shared" si="56"/>
        <v>0</v>
      </c>
      <c r="K188" s="190">
        <f t="shared" si="62"/>
        <v>0</v>
      </c>
      <c r="L188" s="190">
        <f t="shared" si="68"/>
        <v>7.2554899389974241E-8</v>
      </c>
      <c r="M188" s="190">
        <f t="shared" si="74"/>
        <v>0</v>
      </c>
      <c r="N188" s="190">
        <f t="shared" si="80"/>
        <v>0</v>
      </c>
      <c r="O188" s="190">
        <f t="shared" ref="O188:O219" si="86">O21*O$168</f>
        <v>0</v>
      </c>
      <c r="P188" s="189">
        <f>$C188+SUM($D188:O188,Q188:$FB188)-SUM(P$176:P187,P189:P$330)-P$331</f>
        <v>0</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5.9996546954629715E-10</v>
      </c>
      <c r="AC188" s="184">
        <f t="shared" si="87"/>
        <v>0</v>
      </c>
      <c r="AD188" s="184">
        <f t="shared" si="87"/>
        <v>0</v>
      </c>
      <c r="AE188" s="184">
        <f t="shared" si="87"/>
        <v>0</v>
      </c>
      <c r="AF188" s="184">
        <f t="shared" si="87"/>
        <v>0</v>
      </c>
      <c r="AG188" s="184">
        <f t="shared" si="87"/>
        <v>0</v>
      </c>
      <c r="AH188" s="184">
        <f t="shared" si="87"/>
        <v>0</v>
      </c>
      <c r="AI188" s="184">
        <f t="shared" si="87"/>
        <v>0</v>
      </c>
      <c r="AJ188" s="184">
        <f t="shared" si="87"/>
        <v>1.1830706694636841E-7</v>
      </c>
      <c r="AK188" s="184">
        <f t="shared" si="87"/>
        <v>0</v>
      </c>
      <c r="AL188" s="184">
        <f t="shared" si="87"/>
        <v>0</v>
      </c>
      <c r="AM188" s="184">
        <f t="shared" si="87"/>
        <v>0</v>
      </c>
      <c r="AN188" s="184">
        <f t="shared" si="87"/>
        <v>3.1921475945704466E-6</v>
      </c>
      <c r="AO188" s="184">
        <f t="shared" si="87"/>
        <v>0</v>
      </c>
      <c r="AP188" s="184">
        <f t="shared" si="87"/>
        <v>0</v>
      </c>
      <c r="AQ188" s="184">
        <f t="shared" si="87"/>
        <v>0</v>
      </c>
      <c r="AR188" s="184">
        <f t="shared" si="87"/>
        <v>4.3817432202358672E-8</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2.1068693799740589E-2</v>
      </c>
      <c r="G189" s="190">
        <f t="shared" si="38"/>
        <v>0</v>
      </c>
      <c r="H189" s="190">
        <f t="shared" si="44"/>
        <v>0</v>
      </c>
      <c r="I189" s="184">
        <f t="shared" si="50"/>
        <v>2.93966255661663E-3</v>
      </c>
      <c r="J189" s="190">
        <f t="shared" si="56"/>
        <v>0</v>
      </c>
      <c r="K189" s="190">
        <f t="shared" si="62"/>
        <v>0</v>
      </c>
      <c r="L189" s="190">
        <f t="shared" si="68"/>
        <v>0</v>
      </c>
      <c r="M189" s="190">
        <f t="shared" si="74"/>
        <v>0.40171246694477486</v>
      </c>
      <c r="N189" s="190">
        <f t="shared" si="80"/>
        <v>0</v>
      </c>
      <c r="O189" s="190">
        <f t="shared" si="86"/>
        <v>0</v>
      </c>
      <c r="P189" s="190">
        <f t="shared" ref="P189:P220" si="92">P22*P$168</f>
        <v>6.0575996199126774</v>
      </c>
      <c r="Q189" s="189">
        <f>$C189+SUM($D189:P189,R189:$FB189)-SUM(Q$176:Q188,Q190:Q$330)-Q$331</f>
        <v>1.7763568394002505E-15</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2.3353113363296569</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0.15040852179364278</v>
      </c>
      <c r="AL189" s="184">
        <f t="shared" si="93"/>
        <v>0</v>
      </c>
      <c r="AM189" s="184">
        <f t="shared" si="93"/>
        <v>0</v>
      </c>
      <c r="AN189" s="184">
        <f t="shared" si="93"/>
        <v>0</v>
      </c>
      <c r="AO189" s="184">
        <f t="shared" si="93"/>
        <v>5.0733751288307456</v>
      </c>
      <c r="AP189" s="184">
        <f t="shared" si="93"/>
        <v>0</v>
      </c>
      <c r="AQ189" s="184">
        <f t="shared" si="93"/>
        <v>0</v>
      </c>
      <c r="AR189" s="184">
        <f t="shared" si="93"/>
        <v>0</v>
      </c>
      <c r="AS189" s="184">
        <f t="shared" si="93"/>
        <v>5.5706859923571404E-2</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5.3348734675996247E-6</v>
      </c>
      <c r="H190" s="190">
        <f t="shared" si="44"/>
        <v>0</v>
      </c>
      <c r="I190" s="184">
        <f t="shared" si="50"/>
        <v>0</v>
      </c>
      <c r="J190" s="190">
        <f t="shared" si="56"/>
        <v>3.9472458005626463E-4</v>
      </c>
      <c r="K190" s="190">
        <f t="shared" si="62"/>
        <v>0</v>
      </c>
      <c r="L190" s="190">
        <f t="shared" si="68"/>
        <v>0</v>
      </c>
      <c r="M190" s="190">
        <f t="shared" si="74"/>
        <v>0</v>
      </c>
      <c r="N190" s="190">
        <f t="shared" si="80"/>
        <v>1.0671322963961886E-3</v>
      </c>
      <c r="O190" s="190">
        <f t="shared" si="86"/>
        <v>0</v>
      </c>
      <c r="P190" s="190">
        <f t="shared" si="92"/>
        <v>0.64929163371361931</v>
      </c>
      <c r="Q190" s="190">
        <f t="shared" ref="Q190:Q221" si="98">Q23*Q$168</f>
        <v>0</v>
      </c>
      <c r="R190" s="189">
        <f>$C190+SUM($D190:Q190,S190:$FB190)-SUM(R$176:R189,R191:R$330)-R$331</f>
        <v>-3.5527136788005009E-15</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17.903111230890367</v>
      </c>
      <c r="AE190" s="184">
        <f t="shared" si="99"/>
        <v>0</v>
      </c>
      <c r="AF190" s="184">
        <f t="shared" si="99"/>
        <v>0</v>
      </c>
      <c r="AG190" s="184">
        <f t="shared" si="99"/>
        <v>0</v>
      </c>
      <c r="AH190" s="184">
        <f t="shared" si="99"/>
        <v>0</v>
      </c>
      <c r="AI190" s="184">
        <f t="shared" si="99"/>
        <v>0</v>
      </c>
      <c r="AJ190" s="184">
        <f t="shared" si="99"/>
        <v>0</v>
      </c>
      <c r="AK190" s="184">
        <f t="shared" si="99"/>
        <v>0</v>
      </c>
      <c r="AL190" s="184">
        <f t="shared" si="99"/>
        <v>2.7412477020728215E-2</v>
      </c>
      <c r="AM190" s="184">
        <f t="shared" si="99"/>
        <v>0</v>
      </c>
      <c r="AN190" s="184">
        <f t="shared" si="99"/>
        <v>0</v>
      </c>
      <c r="AO190" s="184">
        <f t="shared" si="99"/>
        <v>0</v>
      </c>
      <c r="AP190" s="184">
        <f t="shared" si="99"/>
        <v>1.4138591829348961</v>
      </c>
      <c r="AQ190" s="184">
        <f t="shared" si="99"/>
        <v>0</v>
      </c>
      <c r="AR190" s="184">
        <f t="shared" si="99"/>
        <v>0</v>
      </c>
      <c r="AS190" s="184">
        <f t="shared" si="99"/>
        <v>0</v>
      </c>
      <c r="AT190" s="184">
        <f t="shared" si="99"/>
        <v>1.0152769266936378E-2</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7.8734673138956536E-19</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1.3948232360844422E-2</v>
      </c>
      <c r="P191" s="190">
        <f t="shared" si="92"/>
        <v>0</v>
      </c>
      <c r="Q191" s="190">
        <f t="shared" si="98"/>
        <v>0</v>
      </c>
      <c r="R191" s="190">
        <f t="shared" ref="R191:R222" si="104">R24*R$168</f>
        <v>0</v>
      </c>
      <c r="S191" s="189">
        <f>$C191+SUM($D191:R191,T191:$FB191)-SUM(S$176:S190,S192:S$330)-S$331</f>
        <v>1.2795101656881899E-14</v>
      </c>
      <c r="T191" s="184">
        <f t="shared" ref="T191:AY191" si="105">T24*T$168</f>
        <v>3.2391656884391664E-13</v>
      </c>
      <c r="U191" s="184">
        <f t="shared" si="105"/>
        <v>1.0702124727269947E-6</v>
      </c>
      <c r="V191" s="184">
        <f t="shared" si="105"/>
        <v>8.970821117178421E-9</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0.13518907701106969</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38.840625602198493</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1.9754690728968458E-3</v>
      </c>
      <c r="F192" s="190">
        <f t="shared" si="32"/>
        <v>0</v>
      </c>
      <c r="G192" s="190">
        <f t="shared" si="38"/>
        <v>0</v>
      </c>
      <c r="H192" s="190">
        <f t="shared" si="44"/>
        <v>4.2728575488093192E-4</v>
      </c>
      <c r="I192" s="184">
        <f t="shared" si="50"/>
        <v>0</v>
      </c>
      <c r="J192" s="190">
        <f t="shared" si="56"/>
        <v>0</v>
      </c>
      <c r="K192" s="190">
        <f t="shared" si="62"/>
        <v>0</v>
      </c>
      <c r="L192" s="190">
        <f t="shared" si="68"/>
        <v>0</v>
      </c>
      <c r="M192" s="190">
        <f t="shared" si="74"/>
        <v>0</v>
      </c>
      <c r="N192" s="190">
        <f t="shared" si="80"/>
        <v>0</v>
      </c>
      <c r="O192" s="190">
        <f t="shared" si="86"/>
        <v>0</v>
      </c>
      <c r="P192" s="190">
        <f t="shared" si="92"/>
        <v>7.3741215854625161E-3</v>
      </c>
      <c r="Q192" s="190">
        <f t="shared" si="98"/>
        <v>0</v>
      </c>
      <c r="R192" s="190">
        <f t="shared" si="104"/>
        <v>0</v>
      </c>
      <c r="S192" s="190">
        <f t="shared" ref="S192:S223" si="110">S25*S$168</f>
        <v>0</v>
      </c>
      <c r="T192" s="189">
        <f>$C192+SUM($D192:S192,U192:$FB192)-SUM(T$176:T191,T193:T$330)-T$331</f>
        <v>-3.4694469519536142E-18</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3.8514043571707268E-17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2.4981452347188487E-10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3.1139800446540323E-3</v>
      </c>
      <c r="G193" s="190">
        <f t="shared" si="38"/>
        <v>0</v>
      </c>
      <c r="H193" s="190">
        <f t="shared" si="44"/>
        <v>0</v>
      </c>
      <c r="I193" s="184">
        <f t="shared" si="50"/>
        <v>4.6767651153084333E-4</v>
      </c>
      <c r="J193" s="190">
        <f t="shared" si="56"/>
        <v>0</v>
      </c>
      <c r="K193" s="190">
        <f t="shared" si="62"/>
        <v>0</v>
      </c>
      <c r="L193" s="190">
        <f t="shared" si="68"/>
        <v>0</v>
      </c>
      <c r="M193" s="190">
        <f t="shared" si="74"/>
        <v>0</v>
      </c>
      <c r="N193" s="190">
        <f t="shared" si="80"/>
        <v>0</v>
      </c>
      <c r="O193" s="190">
        <f t="shared" si="86"/>
        <v>0</v>
      </c>
      <c r="P193" s="190">
        <f t="shared" si="92"/>
        <v>0</v>
      </c>
      <c r="Q193" s="190">
        <f t="shared" si="98"/>
        <v>11.507779623996052</v>
      </c>
      <c r="R193" s="190">
        <f t="shared" si="104"/>
        <v>0</v>
      </c>
      <c r="S193" s="190">
        <f t="shared" si="110"/>
        <v>0</v>
      </c>
      <c r="T193" s="190">
        <f t="shared" ref="T193:T224" si="116">T26*T$168</f>
        <v>9.6136466453057446E-3</v>
      </c>
      <c r="U193" s="189">
        <f>$C193+SUM($D193:T193,V193:$FB193)-SUM(U$176:U192,U194:U$330)-U$331</f>
        <v>-3.5527136788005009E-15</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4.7602837424337449E-2</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3.1442760545142541</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8.4873517444023609E-7</v>
      </c>
      <c r="H194" s="190">
        <f t="shared" si="44"/>
        <v>0</v>
      </c>
      <c r="I194" s="184">
        <f t="shared" si="50"/>
        <v>0</v>
      </c>
      <c r="J194" s="190">
        <f t="shared" si="56"/>
        <v>6.2797484765958321E-5</v>
      </c>
      <c r="K194" s="190">
        <f t="shared" si="62"/>
        <v>0</v>
      </c>
      <c r="L194" s="190">
        <f t="shared" si="68"/>
        <v>0</v>
      </c>
      <c r="M194" s="190">
        <f t="shared" si="74"/>
        <v>0</v>
      </c>
      <c r="N194" s="190">
        <f t="shared" si="80"/>
        <v>0</v>
      </c>
      <c r="O194" s="190">
        <f t="shared" si="86"/>
        <v>0</v>
      </c>
      <c r="P194" s="190">
        <f t="shared" si="92"/>
        <v>0</v>
      </c>
      <c r="Q194" s="190">
        <f t="shared" si="98"/>
        <v>0</v>
      </c>
      <c r="R194" s="190">
        <f t="shared" si="104"/>
        <v>0.14714989269387219</v>
      </c>
      <c r="S194" s="190">
        <f t="shared" si="110"/>
        <v>0</v>
      </c>
      <c r="T194" s="190">
        <f t="shared" si="116"/>
        <v>1.5879277494386848E-4</v>
      </c>
      <c r="U194" s="190">
        <f t="shared" ref="U194:U225" si="122">U27*U$168</f>
        <v>0</v>
      </c>
      <c r="V194" s="189">
        <f>$C194+SUM($D194:U194,W194:$FB194)-SUM(V$176:V193,V195:V$330)-V$331</f>
        <v>-5.5511151231257827E-17</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0.23922728773626936</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1.2319350715652607E-4</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3.8210399193533198E-5</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2.0241438000059881E-20</v>
      </c>
      <c r="Y195" s="184">
        <f t="shared" si="129"/>
        <v>2.839009485260194E-6</v>
      </c>
      <c r="Z195" s="184">
        <f t="shared" si="129"/>
        <v>4.5215307133228184E-6</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5.3204907012533605E-11</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6.9149574799410842E-27</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8.2202618417430567E-2</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2.4015924339656717E-11</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0.13091948647773771</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2.918839658846495E-11</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4.9894261019174562E-3</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1.1655173354219173E-18</v>
      </c>
      <c r="AB199" s="184">
        <f t="shared" ref="AB199:BG199" si="151">AB32*AB$168</f>
        <v>2.2627354995065977E-15</v>
      </c>
      <c r="AC199" s="184">
        <f t="shared" si="151"/>
        <v>8.8074933164225126E-6</v>
      </c>
      <c r="AD199" s="184">
        <f t="shared" si="151"/>
        <v>6.7520561415618086E-5</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5.9482323345162071E-6</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-1.1130232129783833E-21</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2.5903268248147349</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2.6846750985105423E-6</v>
      </c>
      <c r="AC201" s="189">
        <f>$C201+SUM($D201:AB201,AD201:$FB201)-SUM(AC$176:AC200,AC202:AC$330)-AC$331</f>
        <v>-8.3266726846886741E-16</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19.858144390320263</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3.2628917537480057E-6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0.13796810459956141</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1.951563910473908E-17</v>
      </c>
      <c r="AF203" s="184">
        <f t="shared" ref="AF203:BK203" si="171">AF36*AF$168</f>
        <v>4.3326880977692041E-22</v>
      </c>
      <c r="AG203" s="184">
        <f t="shared" si="171"/>
        <v>5.3551439423509655E-7</v>
      </c>
      <c r="AH203" s="184">
        <f t="shared" si="171"/>
        <v>2.6912189064405651E-6</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5.6942075950541788E-11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-3.6704696436362598E-27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5.2499544827242985E-2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2.5703092226710519E-11</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0.26383561150182117</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3.1238941248006987E-11</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4.8590237446286102E-17</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9.1499794733510651E-14</v>
      </c>
      <c r="AK207" s="184">
        <f t="shared" si="191"/>
        <v>1.1632736087124786E-7</v>
      </c>
      <c r="AL207" s="184">
        <f t="shared" si="191"/>
        <v>1.2368957317676448E-4</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9.0923141032162189E-2</v>
      </c>
      <c r="F208" s="190">
        <f t="shared" si="32"/>
        <v>0</v>
      </c>
      <c r="G208" s="190">
        <f t="shared" si="38"/>
        <v>0</v>
      </c>
      <c r="H208" s="190">
        <f t="shared" si="44"/>
        <v>2.6369470348146316E-2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-1.292876886770635E-17</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4.5133297548905403E-2</v>
      </c>
      <c r="G209" s="190">
        <f t="shared" si="38"/>
        <v>0</v>
      </c>
      <c r="H209" s="190">
        <f t="shared" si="44"/>
        <v>0</v>
      </c>
      <c r="I209" s="184">
        <f t="shared" si="50"/>
        <v>2.8862141464963281E-2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9.1192127941818857E-2</v>
      </c>
      <c r="AK209" s="189">
        <f>$C209+SUM($D209:AJ209,AL209:$FB209)-SUM(AK$176:AK208,AK210:AK$330)-AK$331</f>
        <v>-2.5804011705155006E-17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5.2378757681887228E-5</v>
      </c>
      <c r="H210" s="190">
        <f t="shared" si="44"/>
        <v>0</v>
      </c>
      <c r="I210" s="184">
        <f t="shared" si="50"/>
        <v>0</v>
      </c>
      <c r="J210" s="190">
        <f t="shared" si="56"/>
        <v>3.8754776950978712E-3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2.6100353506645971E-2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1.0797830543619131E-16</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-5.0279875749015268E-18</v>
      </c>
      <c r="AN211" s="184">
        <f t="shared" ref="AN211:BS211" si="214">AN44*AN$168</f>
        <v>5.4256982165068011E-12</v>
      </c>
      <c r="AO211" s="184">
        <f t="shared" si="214"/>
        <v>8.623223573680362E-6</v>
      </c>
      <c r="AP211" s="184">
        <f t="shared" si="214"/>
        <v>1.401934772109217E-2</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6.6944902535023516</v>
      </c>
      <c r="D212" s="190">
        <f t="shared" si="200"/>
        <v>0</v>
      </c>
      <c r="E212" s="190">
        <f t="shared" si="206"/>
        <v>0.20205142451591593</v>
      </c>
      <c r="F212" s="190">
        <f t="shared" si="212"/>
        <v>0</v>
      </c>
      <c r="G212" s="190">
        <f t="shared" ref="G212:G243" si="218">G45*G$168</f>
        <v>0</v>
      </c>
      <c r="H212" s="190">
        <f t="shared" si="44"/>
        <v>5.8598822995880699E-2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8.2012744199313502E-16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0.10029621677534531</v>
      </c>
      <c r="G213" s="190">
        <f t="shared" si="218"/>
        <v>0</v>
      </c>
      <c r="H213" s="190">
        <f t="shared" ref="H213:H244" si="224">H46*H$168</f>
        <v>0</v>
      </c>
      <c r="I213" s="184">
        <f t="shared" si="50"/>
        <v>6.4138092144362849E-2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5.407454381448785</v>
      </c>
      <c r="AO213" s="189">
        <f>$C213+SUM($D213:AN213,AP213:$FB213)-SUM(AO$176:AO212,AO214:AO$330)-AO$331</f>
        <v>1.3183898417423734E-15</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1.1639723929308272E-4</v>
      </c>
      <c r="H214" s="190">
        <f t="shared" si="224"/>
        <v>0</v>
      </c>
      <c r="I214" s="184">
        <f t="shared" ref="I214:I245" si="230">I47*I$168</f>
        <v>0</v>
      </c>
      <c r="J214" s="190">
        <f t="shared" si="56"/>
        <v>8.6121726557730465E-3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1.5476826137550039</v>
      </c>
      <c r="AO214" s="190">
        <f t="shared" ref="AO214:AO245" si="231">AO47*AO$168</f>
        <v>0</v>
      </c>
      <c r="AP214" s="189">
        <f>$C214+SUM($D214:AO214,AQ214:$FB214)-SUM(AP$176:AP213,AP215:AP$330)-AP$331</f>
        <v>4.4408920985006262E-16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1.7996384239365219E-17</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1.1805521702356811E-20</v>
      </c>
      <c r="AR215" s="184">
        <f t="shared" ref="AR215:BW215" si="238">AR48*AR$168</f>
        <v>3.3888812864263204E-14</v>
      </c>
      <c r="AS215" s="184">
        <f t="shared" si="238"/>
        <v>4.3084207730091804E-8</v>
      </c>
      <c r="AT215" s="184">
        <f t="shared" si="238"/>
        <v>4.5810953028431295E-5</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3.3675237419319333E-2</v>
      </c>
      <c r="F216" s="190">
        <f t="shared" si="212"/>
        <v>0</v>
      </c>
      <c r="G216" s="190">
        <f t="shared" si="218"/>
        <v>0</v>
      </c>
      <c r="H216" s="190">
        <f t="shared" si="224"/>
        <v>9.766470499313451E-3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-6.073413278029347E-18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1.6716036129224222E-2</v>
      </c>
      <c r="G217" s="190">
        <f t="shared" si="218"/>
        <v>0</v>
      </c>
      <c r="H217" s="190">
        <f t="shared" si="224"/>
        <v>0</v>
      </c>
      <c r="I217" s="184">
        <f t="shared" si="230"/>
        <v>1.0689682024060475E-2</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3.3774862200673654E-2</v>
      </c>
      <c r="AS217" s="189">
        <f>$C217+SUM($D217:AR217,AT217:$FB217)-SUM(AS$176:AS216,AS218:AS$330)-AS$331</f>
        <v>-8.2941466195141089E-18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1.9399539882180454E-5</v>
      </c>
      <c r="H218" s="190">
        <f t="shared" si="224"/>
        <v>0</v>
      </c>
      <c r="I218" s="184">
        <f t="shared" si="230"/>
        <v>0</v>
      </c>
      <c r="J218" s="190">
        <f t="shared" si="236"/>
        <v>1.4353621092955079E-3</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9.6667975950540646E-3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2.4799699208070267E-16</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3.4647479699526373E-31</v>
      </c>
      <c r="AV219" s="184">
        <f t="shared" ref="AV219:CA219" si="262">AV52*AV$168</f>
        <v>0</v>
      </c>
      <c r="AW219" s="184">
        <f t="shared" si="262"/>
        <v>0</v>
      </c>
      <c r="AX219" s="184">
        <f t="shared" si="262"/>
        <v>0</v>
      </c>
      <c r="AY219" s="184">
        <f t="shared" si="262"/>
        <v>0</v>
      </c>
      <c r="AZ219" s="184">
        <f t="shared" si="262"/>
        <v>0</v>
      </c>
      <c r="BA219" s="184">
        <f t="shared" si="262"/>
        <v>0</v>
      </c>
      <c r="BB219" s="184">
        <f t="shared" si="262"/>
        <v>2.2021581810490948E-24</v>
      </c>
      <c r="BC219" s="184">
        <f t="shared" si="262"/>
        <v>0</v>
      </c>
      <c r="BD219" s="184">
        <f t="shared" si="262"/>
        <v>0</v>
      </c>
      <c r="BE219" s="184">
        <f t="shared" si="262"/>
        <v>0</v>
      </c>
      <c r="BF219" s="184">
        <f t="shared" si="262"/>
        <v>2.3246005290361563E-23</v>
      </c>
      <c r="BG219" s="184">
        <f t="shared" si="262"/>
        <v>0</v>
      </c>
      <c r="BH219" s="184">
        <f t="shared" si="262"/>
        <v>0</v>
      </c>
      <c r="BI219" s="184">
        <f t="shared" si="262"/>
        <v>0</v>
      </c>
      <c r="BJ219" s="184">
        <f t="shared" si="262"/>
        <v>8.6057688095418213E-16</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2.2801377356268507E-23</v>
      </c>
      <c r="CA219" s="184">
        <f t="shared" si="262"/>
        <v>0</v>
      </c>
      <c r="CB219" s="184">
        <f t="shared" ref="CB219:DG219" si="263">CB52*CB$168</f>
        <v>0</v>
      </c>
      <c r="CC219" s="184">
        <f t="shared" si="263"/>
        <v>0</v>
      </c>
      <c r="CD219" s="184">
        <f t="shared" si="263"/>
        <v>1.1080811839745423E-22</v>
      </c>
      <c r="CE219" s="184">
        <f t="shared" si="263"/>
        <v>0</v>
      </c>
      <c r="CF219" s="184">
        <f t="shared" si="263"/>
        <v>0</v>
      </c>
      <c r="CG219" s="184">
        <f t="shared" si="263"/>
        <v>0</v>
      </c>
      <c r="CH219" s="184">
        <f t="shared" si="263"/>
        <v>8.4449545763957396E-24</v>
      </c>
      <c r="CI219" s="184">
        <f t="shared" si="263"/>
        <v>0</v>
      </c>
      <c r="CJ219" s="184">
        <f t="shared" si="263"/>
        <v>0</v>
      </c>
      <c r="CK219" s="184">
        <f t="shared" si="263"/>
        <v>0</v>
      </c>
      <c r="CL219" s="184">
        <f t="shared" si="263"/>
        <v>1.2414417390554357E-14</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0.95270437401074104</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-1.3249289360951766E-16</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4.8914578790311854E-5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5.7846213992465412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0.84321451424876914</v>
      </c>
      <c r="AW221" s="189">
        <f>$C221+SUM($D221:AV221,AX221:$FB221)-SUM(AW$176:AW220,AW222:AW$330)-AW$331</f>
        <v>-1.5829351718288365E-17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0.27373272761522222</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1.8354590035900827E-3</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2.6213745692197379E-3</v>
      </c>
      <c r="AW222" s="190">
        <f t="shared" ref="AW222:AW253" si="279">AW55*AW$168</f>
        <v>0</v>
      </c>
      <c r="AX222" s="189">
        <f>$C222+SUM($D222:AW222,AY222:$FB222)-SUM(AX$176:AX221,AX223:AX$330)-AX$331</f>
        <v>-1.8836689257955555E-18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2.3966396252669577E-7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1.5651023836159697E-2</v>
      </c>
      <c r="AW223" s="190">
        <f t="shared" si="279"/>
        <v>0</v>
      </c>
      <c r="AX223" s="190">
        <f t="shared" ref="AX223:AX254" si="285">AX56*AX$168</f>
        <v>0</v>
      </c>
      <c r="AY223" s="189">
        <f>$C223+SUM($D223:AX223,AZ223:$FB223)-SUM(AY$176:AY222,AY224:AY$330)-AY$331</f>
        <v>-3.4694469519536142E-18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0.46310585142687344</v>
      </c>
      <c r="AX224" s="190">
        <f t="shared" si="285"/>
        <v>0</v>
      </c>
      <c r="AY224" s="190">
        <f t="shared" ref="AY224:AY255" si="291">AY57*AY$168</f>
        <v>0</v>
      </c>
      <c r="AZ224" s="189">
        <f>$C224+SUM($D224:AY224,BA224:$FB224)-SUM(AZ$176:AZ223,AZ225:AZ$330)-AZ$331</f>
        <v>-1.1102230246251565E-16</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4.3011326083872287E-3</v>
      </c>
      <c r="AY225" s="190">
        <f t="shared" si="291"/>
        <v>0</v>
      </c>
      <c r="AZ225" s="190">
        <f t="shared" ref="AZ225:AZ256" si="297">AZ58*AZ$168</f>
        <v>0</v>
      </c>
      <c r="BA225" s="189">
        <f>$C225+SUM($D225:AZ225,BB225:$FB225)-SUM(BA$176:BA224,BA226:BA$330)-BA$331</f>
        <v>8.6736173798840355E-19</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1.3464007511190173E-17</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-2.5581547721884564E-22</v>
      </c>
      <c r="BC226" s="184">
        <f t="shared" ref="BC226:CH226" si="304">BC59*BC$168</f>
        <v>2.3480611190364929E-13</v>
      </c>
      <c r="BD226" s="184">
        <f t="shared" si="304"/>
        <v>1.838744135924428E-6</v>
      </c>
      <c r="BE226" s="184">
        <f t="shared" si="304"/>
        <v>2.6200992115197961E-10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8.9434999151891857E-7</v>
      </c>
      <c r="CA226" s="184">
        <f t="shared" si="304"/>
        <v>0</v>
      </c>
      <c r="CB226" s="184">
        <f t="shared" si="304"/>
        <v>0</v>
      </c>
      <c r="CC226" s="184">
        <f t="shared" si="304"/>
        <v>0</v>
      </c>
      <c r="CD226" s="184">
        <f t="shared" si="304"/>
        <v>4.3462830424911049E-6</v>
      </c>
      <c r="CE226" s="184">
        <f t="shared" si="304"/>
        <v>0</v>
      </c>
      <c r="CF226" s="184">
        <f t="shared" si="304"/>
        <v>0</v>
      </c>
      <c r="CG226" s="184">
        <f t="shared" si="304"/>
        <v>0</v>
      </c>
      <c r="CH226" s="184">
        <f t="shared" si="304"/>
        <v>3.3124073759959929E-7</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1.2056528675726543E-4</v>
      </c>
      <c r="AW227" s="190">
        <f t="shared" si="279"/>
        <v>0</v>
      </c>
      <c r="AX227" s="190">
        <f t="shared" si="285"/>
        <v>0</v>
      </c>
      <c r="AY227" s="190">
        <f t="shared" si="291"/>
        <v>1.8945364075785303E-5</v>
      </c>
      <c r="AZ227" s="190">
        <f t="shared" si="297"/>
        <v>0</v>
      </c>
      <c r="BA227" s="190">
        <f t="shared" si="303"/>
        <v>0</v>
      </c>
      <c r="BB227" s="190">
        <f t="shared" ref="BB227:BB258" si="309">BB60*BB$168</f>
        <v>0</v>
      </c>
      <c r="BC227" s="189">
        <f>$C227+SUM($D227:BB227,BD227:$FB227)-SUM(BC$176:BC226,BC228:BC$330)-BC$331</f>
        <v>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8.3453260034181234E-10</v>
      </c>
      <c r="CB227" s="184">
        <f t="shared" si="310"/>
        <v>0</v>
      </c>
      <c r="CC227" s="184">
        <f t="shared" si="310"/>
        <v>0</v>
      </c>
      <c r="CD227" s="184">
        <f t="shared" si="310"/>
        <v>0</v>
      </c>
      <c r="CE227" s="184">
        <f t="shared" si="310"/>
        <v>8.4385497813004655E-10</v>
      </c>
      <c r="CF227" s="184">
        <f t="shared" si="310"/>
        <v>0</v>
      </c>
      <c r="CG227" s="184">
        <f t="shared" si="310"/>
        <v>0</v>
      </c>
      <c r="CH227" s="184">
        <f t="shared" si="310"/>
        <v>0</v>
      </c>
      <c r="CI227" s="184">
        <f t="shared" si="310"/>
        <v>3.0908614827474529E-10</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4.0213851550668167E-3</v>
      </c>
      <c r="AX228" s="190">
        <f t="shared" si="285"/>
        <v>0</v>
      </c>
      <c r="AY228" s="190">
        <f t="shared" si="291"/>
        <v>0</v>
      </c>
      <c r="AZ228" s="190">
        <f t="shared" si="297"/>
        <v>5.6058370703123686E-4</v>
      </c>
      <c r="BA228" s="190">
        <f t="shared" si="303"/>
        <v>0</v>
      </c>
      <c r="BB228" s="190">
        <f t="shared" si="309"/>
        <v>0</v>
      </c>
      <c r="BC228" s="190">
        <f t="shared" ref="BC228:BC259" si="315">BC61*BC$168</f>
        <v>1.3930382981140789E-4</v>
      </c>
      <c r="BD228" s="189">
        <f>$C228+SUM($D228:BC228,BE228:$FB228)-SUM(BD$176:BD227,BD229:BD$330)-BD$331</f>
        <v>-6.9388939039072284E-18</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1.3466623400940446E-2</v>
      </c>
      <c r="CC228" s="184">
        <f t="shared" si="316"/>
        <v>0</v>
      </c>
      <c r="CD228" s="184">
        <f t="shared" si="316"/>
        <v>0</v>
      </c>
      <c r="CE228" s="184">
        <f t="shared" si="316"/>
        <v>0</v>
      </c>
      <c r="CF228" s="184">
        <f t="shared" si="316"/>
        <v>2.9925793152717897E-2</v>
      </c>
      <c r="CG228" s="184">
        <f t="shared" si="316"/>
        <v>0</v>
      </c>
      <c r="CH228" s="184">
        <f t="shared" si="316"/>
        <v>0</v>
      </c>
      <c r="CI228" s="184">
        <f t="shared" si="316"/>
        <v>0</v>
      </c>
      <c r="CJ228" s="184">
        <f t="shared" si="316"/>
        <v>4.9876382966446082E-3</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7.0367640214863264E-8</v>
      </c>
      <c r="AY229" s="190">
        <f t="shared" si="291"/>
        <v>0</v>
      </c>
      <c r="AZ229" s="190">
        <f t="shared" si="297"/>
        <v>0</v>
      </c>
      <c r="BA229" s="190">
        <f t="shared" si="303"/>
        <v>5.2064659831303736E-6</v>
      </c>
      <c r="BB229" s="190">
        <f t="shared" si="309"/>
        <v>0</v>
      </c>
      <c r="BC229" s="190">
        <f t="shared" si="315"/>
        <v>2.0317521920857066E-7</v>
      </c>
      <c r="BD229" s="190">
        <f t="shared" ref="BD229:BD260" si="321">BD62*BD$168</f>
        <v>0</v>
      </c>
      <c r="BE229" s="189">
        <f>$C229+SUM($D229:BD229,BF229:$FB229)-SUM(BE$176:BE228,BE230:BE$330)-BE$331</f>
        <v>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2.1536883854814565E-4</v>
      </c>
      <c r="CD229" s="184">
        <f t="shared" si="322"/>
        <v>0</v>
      </c>
      <c r="CE229" s="184">
        <f t="shared" si="322"/>
        <v>0</v>
      </c>
      <c r="CF229" s="184">
        <f t="shared" si="322"/>
        <v>0</v>
      </c>
      <c r="CG229" s="184">
        <f t="shared" si="322"/>
        <v>4.7624840492069829E-4</v>
      </c>
      <c r="CH229" s="184">
        <f t="shared" si="322"/>
        <v>0</v>
      </c>
      <c r="CI229" s="184">
        <f t="shared" si="322"/>
        <v>0</v>
      </c>
      <c r="CJ229" s="184">
        <f t="shared" si="322"/>
        <v>0</v>
      </c>
      <c r="CK229" s="184">
        <f t="shared" si="322"/>
        <v>7.9766236499313197E-5</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1.4810408262309187E-16</v>
      </c>
      <c r="AV230" s="190">
        <f t="shared" si="273"/>
        <v>0</v>
      </c>
      <c r="AW230" s="190">
        <f t="shared" si="279"/>
        <v>0</v>
      </c>
      <c r="AX230" s="190">
        <f t="shared" si="285"/>
        <v>0</v>
      </c>
      <c r="AY230" s="190">
        <f t="shared" si="291"/>
        <v>0</v>
      </c>
      <c r="AZ230" s="190">
        <f t="shared" si="297"/>
        <v>0</v>
      </c>
      <c r="BA230" s="190">
        <f t="shared" si="303"/>
        <v>0</v>
      </c>
      <c r="BB230" s="190">
        <f t="shared" si="309"/>
        <v>7.1733310358962418E-6</v>
      </c>
      <c r="BC230" s="190">
        <f t="shared" si="315"/>
        <v>0</v>
      </c>
      <c r="BD230" s="190">
        <f t="shared" si="321"/>
        <v>0</v>
      </c>
      <c r="BE230" s="190">
        <f t="shared" ref="BE230:BE261" si="326">BE63*BE$168</f>
        <v>0</v>
      </c>
      <c r="BF230" s="189">
        <f>$C230+SUM($D230:BE230,BG230:$FB230)-SUM(BF$176:BF229,BF231:BF$330)-BF$331</f>
        <v>1.4895246839608493E-21</v>
      </c>
      <c r="BG230" s="184">
        <f t="shared" ref="BG230:CL230" si="327">BG63*BG$168</f>
        <v>2.3201602790078474E-12</v>
      </c>
      <c r="BH230" s="184">
        <f t="shared" si="327"/>
        <v>8.4593985908723294E-7</v>
      </c>
      <c r="BI230" s="184">
        <f t="shared" si="327"/>
        <v>8.4384627490459029E-10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2.4286764507660196E-5</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9.8378499067081039E-6</v>
      </c>
      <c r="CA230" s="184">
        <f t="shared" si="327"/>
        <v>0</v>
      </c>
      <c r="CB230" s="184">
        <f t="shared" si="327"/>
        <v>0</v>
      </c>
      <c r="CC230" s="184">
        <f t="shared" si="327"/>
        <v>0</v>
      </c>
      <c r="CD230" s="184">
        <f t="shared" si="327"/>
        <v>4.7809113467402164E-5</v>
      </c>
      <c r="CE230" s="184">
        <f t="shared" si="327"/>
        <v>0</v>
      </c>
      <c r="CF230" s="184">
        <f t="shared" si="327"/>
        <v>0</v>
      </c>
      <c r="CG230" s="184">
        <f t="shared" si="327"/>
        <v>0</v>
      </c>
      <c r="CH230" s="184">
        <f t="shared" si="327"/>
        <v>3.6436481135955917E-6</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1.3262181543299196E-3</v>
      </c>
      <c r="AW231" s="190">
        <f t="shared" si="279"/>
        <v>0</v>
      </c>
      <c r="AX231" s="190">
        <f t="shared" si="285"/>
        <v>0</v>
      </c>
      <c r="AY231" s="190">
        <f t="shared" si="291"/>
        <v>2.0839900483363825E-4</v>
      </c>
      <c r="AZ231" s="190">
        <f t="shared" si="297"/>
        <v>0</v>
      </c>
      <c r="BA231" s="190">
        <f t="shared" si="303"/>
        <v>0</v>
      </c>
      <c r="BB231" s="190">
        <f t="shared" si="309"/>
        <v>0</v>
      </c>
      <c r="BC231" s="190">
        <f t="shared" si="315"/>
        <v>5.6289136415258399E-9</v>
      </c>
      <c r="BD231" s="190">
        <f t="shared" si="321"/>
        <v>0</v>
      </c>
      <c r="BE231" s="190">
        <f t="shared" si="326"/>
        <v>0</v>
      </c>
      <c r="BF231" s="190">
        <f t="shared" ref="BF231:BF262" si="331">BF64*BF$168</f>
        <v>0</v>
      </c>
      <c r="BG231" s="189">
        <f>$C231+SUM($D231:BF231,BH231:$FB231)-SUM(BG$176:BG230,BG232:BG$330)-BG$331</f>
        <v>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1.372401907974704E-13</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9.1798586037599343E-9</v>
      </c>
      <c r="CB231" s="184">
        <f t="shared" si="332"/>
        <v>0</v>
      </c>
      <c r="CC231" s="184">
        <f t="shared" si="332"/>
        <v>0</v>
      </c>
      <c r="CD231" s="184">
        <f t="shared" si="332"/>
        <v>0</v>
      </c>
      <c r="CE231" s="184">
        <f t="shared" si="332"/>
        <v>9.2824047594305116E-9</v>
      </c>
      <c r="CF231" s="184">
        <f t="shared" si="332"/>
        <v>0</v>
      </c>
      <c r="CG231" s="184">
        <f t="shared" si="332"/>
        <v>0</v>
      </c>
      <c r="CH231" s="184">
        <f t="shared" si="332"/>
        <v>0</v>
      </c>
      <c r="CI231" s="184">
        <f t="shared" si="332"/>
        <v>3.3999476310221971E-9</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4.4235236705734982E-2</v>
      </c>
      <c r="AX232" s="190">
        <f t="shared" si="285"/>
        <v>0</v>
      </c>
      <c r="AY232" s="190">
        <f t="shared" si="291"/>
        <v>0</v>
      </c>
      <c r="AZ232" s="190">
        <f t="shared" si="297"/>
        <v>6.1664207773436033E-3</v>
      </c>
      <c r="BA232" s="190">
        <f t="shared" si="303"/>
        <v>0</v>
      </c>
      <c r="BB232" s="190">
        <f t="shared" si="309"/>
        <v>0</v>
      </c>
      <c r="BC232" s="190">
        <f t="shared" si="315"/>
        <v>0</v>
      </c>
      <c r="BD232" s="190">
        <f t="shared" si="321"/>
        <v>4.4079482710517114E-2</v>
      </c>
      <c r="BE232" s="190">
        <f t="shared" si="326"/>
        <v>0</v>
      </c>
      <c r="BF232" s="190">
        <f t="shared" si="331"/>
        <v>0</v>
      </c>
      <c r="BG232" s="190">
        <f t="shared" ref="BG232:BG263" si="336">BG65*BG$168</f>
        <v>1.3845527517787289E-3</v>
      </c>
      <c r="BH232" s="189">
        <f>$C232+SUM($D232:BG232,BI232:$FB232)-SUM(BH$176:BH231,BH233:BH$330)-BH$331</f>
        <v>-1.1102230246251565E-16</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0.12480720443738609</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0.14813285741034488</v>
      </c>
      <c r="CC232" s="184">
        <f t="shared" si="337"/>
        <v>0</v>
      </c>
      <c r="CD232" s="184">
        <f t="shared" si="337"/>
        <v>0</v>
      </c>
      <c r="CE232" s="184">
        <f t="shared" si="337"/>
        <v>0</v>
      </c>
      <c r="CF232" s="184">
        <f t="shared" si="337"/>
        <v>0.32918372467989687</v>
      </c>
      <c r="CG232" s="184">
        <f t="shared" si="337"/>
        <v>0</v>
      </c>
      <c r="CH232" s="184">
        <f t="shared" si="337"/>
        <v>0</v>
      </c>
      <c r="CI232" s="184">
        <f t="shared" si="337"/>
        <v>0</v>
      </c>
      <c r="CJ232" s="184">
        <f t="shared" si="337"/>
        <v>5.4864021263090673E-2</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7.7404404236349573E-7</v>
      </c>
      <c r="AY233" s="190">
        <f t="shared" si="291"/>
        <v>0</v>
      </c>
      <c r="AZ233" s="190">
        <f t="shared" si="297"/>
        <v>0</v>
      </c>
      <c r="BA233" s="190">
        <f t="shared" si="303"/>
        <v>5.7271125814434088E-5</v>
      </c>
      <c r="BB233" s="190">
        <f t="shared" si="309"/>
        <v>0</v>
      </c>
      <c r="BC233" s="190">
        <f t="shared" si="315"/>
        <v>0</v>
      </c>
      <c r="BD233" s="190">
        <f t="shared" si="321"/>
        <v>0</v>
      </c>
      <c r="BE233" s="190">
        <f t="shared" si="326"/>
        <v>6.2810597536433468E-6</v>
      </c>
      <c r="BF233" s="190">
        <f t="shared" si="331"/>
        <v>0</v>
      </c>
      <c r="BG233" s="190">
        <f t="shared" si="336"/>
        <v>1.4840507372094317E-4</v>
      </c>
      <c r="BH233" s="190">
        <f t="shared" ref="BH233:BH264" si="341">BH66*BH$168</f>
        <v>0</v>
      </c>
      <c r="BI233" s="189">
        <f>$C233+SUM($D233:BH233,BJ233:$FB233)-SUM(BI$176:BI232,BI234:BI$330)-BI$331</f>
        <v>-1.3877787807814457E-17</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7.4641299937554334E-2</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2.3690572240296017E-3</v>
      </c>
      <c r="CD233" s="184">
        <f t="shared" si="342"/>
        <v>0</v>
      </c>
      <c r="CE233" s="184">
        <f t="shared" si="342"/>
        <v>0</v>
      </c>
      <c r="CF233" s="184">
        <f t="shared" si="342"/>
        <v>0</v>
      </c>
      <c r="CG233" s="184">
        <f t="shared" si="342"/>
        <v>5.2387324541276802E-3</v>
      </c>
      <c r="CH233" s="184">
        <f t="shared" si="342"/>
        <v>0</v>
      </c>
      <c r="CI233" s="184">
        <f t="shared" si="342"/>
        <v>0</v>
      </c>
      <c r="CJ233" s="184">
        <f t="shared" si="342"/>
        <v>0</v>
      </c>
      <c r="CK233" s="184">
        <f t="shared" si="342"/>
        <v>8.7742860149244502E-4</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38.851795886154342</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5.7371973621426905E-15</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6.8937750890252897E-5</v>
      </c>
      <c r="BG234" s="190">
        <f t="shared" si="336"/>
        <v>0</v>
      </c>
      <c r="BH234" s="190">
        <f t="shared" si="341"/>
        <v>0</v>
      </c>
      <c r="BI234" s="190">
        <f t="shared" ref="BI234:BI265" si="346">BI67*BI$168</f>
        <v>0</v>
      </c>
      <c r="BJ234" s="189">
        <f>$C234+SUM($D234:BI234,BK234:$FB234)-SUM(BJ$176:BJ233,BJ235:BJ$330)-BJ$331</f>
        <v>-2.2263701087965663E-11</v>
      </c>
      <c r="BK234" s="184">
        <f t="shared" ref="BK234:CP234" si="347">BK67*BK$168</f>
        <v>1.5048861548988781E-12</v>
      </c>
      <c r="BL234" s="184">
        <f t="shared" si="347"/>
        <v>1.894116257076264E-2</v>
      </c>
      <c r="BM234" s="184">
        <f t="shared" si="347"/>
        <v>7.4211939608930185E-7</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557.63074564959391</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74161.728202882776</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4.4371855392515203E-6</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3.7323315937258274E-2</v>
      </c>
      <c r="AW235" s="190">
        <f t="shared" si="279"/>
        <v>0</v>
      </c>
      <c r="AX235" s="190">
        <f t="shared" si="285"/>
        <v>0</v>
      </c>
      <c r="AY235" s="190">
        <f t="shared" si="291"/>
        <v>8.0728782058455805E-3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1.6854630503377889E-6</v>
      </c>
      <c r="BH235" s="190">
        <f t="shared" si="341"/>
        <v>0</v>
      </c>
      <c r="BI235" s="190">
        <f t="shared" si="346"/>
        <v>0</v>
      </c>
      <c r="BJ235" s="190">
        <f t="shared" ref="BJ235:BJ266" si="351">BJ68*BJ$168</f>
        <v>0</v>
      </c>
      <c r="BK235" s="189">
        <f>$C235+SUM($D235:BJ235,BL235:$FB235)-SUM(BK$176:BK234,BK236:BK$330)-BK$331</f>
        <v>1.3877787807814457E-17</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8.9475987509914136E-18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2.0929803604804326E-9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14.660353204096422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1.5920672761070491</v>
      </c>
      <c r="AX236" s="190">
        <f t="shared" si="285"/>
        <v>0</v>
      </c>
      <c r="AY236" s="190">
        <f t="shared" si="291"/>
        <v>0</v>
      </c>
      <c r="AZ236" s="190">
        <f t="shared" si="297"/>
        <v>0.23887236861437877</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0.61452667223024393</v>
      </c>
      <c r="BI236" s="190">
        <f t="shared" si="346"/>
        <v>0</v>
      </c>
      <c r="BJ236" s="190">
        <f t="shared" si="351"/>
        <v>0</v>
      </c>
      <c r="BK236" s="190">
        <f t="shared" ref="BK236:BK267" si="356">BK69*BK$168</f>
        <v>4.4664105285648362E-2</v>
      </c>
      <c r="BL236" s="189">
        <f>$C236+SUM($D236:BK236,BM236:$FB236)-SUM(BL$176:BL235,BL237:BL$330)-BL$331</f>
        <v>9.0949470177292824E-13</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42.129505638476111</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5993.0510155625379</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0.12288719245954009</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2.9984611898454936E-5</v>
      </c>
      <c r="AY237" s="190">
        <f t="shared" si="291"/>
        <v>0</v>
      </c>
      <c r="AZ237" s="190">
        <f t="shared" si="297"/>
        <v>0</v>
      </c>
      <c r="BA237" s="190">
        <f t="shared" si="303"/>
        <v>2.2185462151350791E-3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6.1300580368743585E-4</v>
      </c>
      <c r="BJ237" s="190">
        <f t="shared" si="351"/>
        <v>0</v>
      </c>
      <c r="BK237" s="190">
        <f t="shared" si="356"/>
        <v>7.3773641578103255E-4</v>
      </c>
      <c r="BL237" s="190">
        <f t="shared" ref="BL237:BL268" si="361">BL70*BL$168</f>
        <v>0</v>
      </c>
      <c r="BM237" s="189">
        <f>$C237+SUM($D237:BL237,BN237:$FB237)-SUM(BM$176:BM236,BM238:BM$330)-BM$331</f>
        <v>0</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0.98962168182074162</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0.21050555793354506</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2.3754911636638765E-7</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1.5703600529257272E-21</v>
      </c>
      <c r="BP238" s="184">
        <f t="shared" si="367"/>
        <v>3.1381264940468566E-7</v>
      </c>
      <c r="BQ238" s="184">
        <f t="shared" si="367"/>
        <v>2.680912071880557E-8</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4.1277133508140139E-12</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2.3569684733806543E-28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9.0200060875593787E-3</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1.8631901654898241E-12</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7.7058216704714642E-4</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2.2644780480192826E-12</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2.4659742166676082E-5</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5.1718120360593223E-19</v>
      </c>
      <c r="BT242" s="184">
        <f t="shared" si="389"/>
        <v>4.7032826050842771E-7</v>
      </c>
      <c r="BU242" s="184">
        <f t="shared" si="389"/>
        <v>2.812811401390683E-7</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1.3595552634250112E-9</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-6.0180620737500549E-26</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0.13832598256598999</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6.1362165354338563E-10</v>
      </c>
      <c r="BT244" s="189">
        <f>$C244+SUM($D244:BS244,BU244:$FB244)-SUM(BT$176:BT243,BT245:BT$330)-BT$331</f>
        <v>1.7347234759768071E-17</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8.2726242873001746E-2</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7.4578150420463851E-10</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569.09426514816471</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1.3677947663381929E-13</v>
      </c>
      <c r="BW246" s="184">
        <f t="shared" ref="BW246:DB246" si="413">BW79*BW$168</f>
        <v>1.0064632314270212E-22</v>
      </c>
      <c r="BX246" s="184">
        <f t="shared" si="413"/>
        <v>4.7389025327745465E-4</v>
      </c>
      <c r="BY246" s="184">
        <f t="shared" si="413"/>
        <v>1.1131677486825011E-5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1.3227378586252894E-11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4.3872953763333447E-28</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46.458177175324174</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5.9707084092855079E-12</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1.0913021345373071</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7.2566603100315712E-12</v>
      </c>
      <c r="BX249" s="190">
        <f t="shared" ref="BX249:BX280" si="430">BX82*BX$168</f>
        <v>0</v>
      </c>
      <c r="BY249" s="189">
        <f>$C249+SUM($D249:BX249,BZ249:$FB249)-SUM(BY$176:BY248,BY250:BY$330)-BY$331</f>
        <v>2.0816681711721685E-16</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1.4541128112081079E-15</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-5.3733652591444678E-21</v>
      </c>
      <c r="CA250" s="184">
        <f t="shared" ref="CA250:DF250" si="437">CA83*CA$168</f>
        <v>7.099788707528847E-15</v>
      </c>
      <c r="CB250" s="184">
        <f t="shared" si="437"/>
        <v>1.1456734070230469E-7</v>
      </c>
      <c r="CC250" s="184">
        <f t="shared" si="437"/>
        <v>1.0689573096585766E-5</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7.0550441324299376E-3</v>
      </c>
      <c r="AW251" s="190">
        <f t="shared" si="279"/>
        <v>0</v>
      </c>
      <c r="AX251" s="190">
        <f t="shared" si="285"/>
        <v>0</v>
      </c>
      <c r="AY251" s="190">
        <f t="shared" si="291"/>
        <v>2.0460993201848123E-3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1.7093067489936785E-18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9.5069341119652137E-2</v>
      </c>
      <c r="AX252" s="190">
        <f t="shared" si="285"/>
        <v>0</v>
      </c>
      <c r="AY252" s="190">
        <f t="shared" si="291"/>
        <v>0</v>
      </c>
      <c r="AZ252" s="190">
        <f t="shared" si="297"/>
        <v>6.0543040359373579E-2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7.0759157663960624E-3</v>
      </c>
      <c r="CB252" s="189">
        <f>$C252+SUM($D252:CA252,CC252:$FB252)-SUM(CB$176:CB251,CB253:CB$330)-CB$331</f>
        <v>-1.0408340855860843E-17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7.5997051432052318E-6</v>
      </c>
      <c r="AY253" s="190">
        <f t="shared" si="291"/>
        <v>0</v>
      </c>
      <c r="AZ253" s="190">
        <f t="shared" si="297"/>
        <v>0</v>
      </c>
      <c r="BA253" s="190">
        <f t="shared" si="303"/>
        <v>5.6229832617808034E-4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2.0252176043530474E-3</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3.2313618026846836E-15</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-2.1546400595781265E-20</v>
      </c>
      <c r="CE254" s="184">
        <f t="shared" ref="CE254:DJ254" si="461">CE87*CE$168</f>
        <v>1.5777317763689925E-14</v>
      </c>
      <c r="CF254" s="184">
        <f t="shared" si="461"/>
        <v>5.5951408729868686E-7</v>
      </c>
      <c r="CG254" s="184">
        <f t="shared" si="461"/>
        <v>5.1945492718540655E-5</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1.5677875849844307E-2</v>
      </c>
      <c r="AW255" s="190">
        <f t="shared" si="459"/>
        <v>0</v>
      </c>
      <c r="AX255" s="190">
        <f t="shared" ref="AX255:AX286" si="465">AX88*AX$168</f>
        <v>0</v>
      </c>
      <c r="AY255" s="190">
        <f t="shared" si="291"/>
        <v>4.5468873781884722E-3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6.2587837553688386E-18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0.21126520248811581</v>
      </c>
      <c r="AX256" s="190">
        <f t="shared" si="465"/>
        <v>0</v>
      </c>
      <c r="AY256" s="190">
        <f t="shared" ref="AY256:AY287" si="471">AY89*AY$168</f>
        <v>0</v>
      </c>
      <c r="AZ256" s="190">
        <f t="shared" si="297"/>
        <v>0.13454008968749684</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1.5724266751368052E-2</v>
      </c>
      <c r="CF256" s="189">
        <f>$C256+SUM($D256:CE256,CG256:$FB256)-SUM(CF$176:CF255,CF257:CF$330)-CF$331</f>
        <v>1.0625181290357943E-16</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1.6888233651567178E-5</v>
      </c>
      <c r="AY257" s="190">
        <f t="shared" si="471"/>
        <v>0</v>
      </c>
      <c r="AZ257" s="190">
        <f t="shared" ref="AZ257:AZ288" si="477">AZ90*AZ$168</f>
        <v>0</v>
      </c>
      <c r="BA257" s="190">
        <f t="shared" si="303"/>
        <v>1.2495518359512895E-3</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4.5004862821640618E-3</v>
      </c>
      <c r="CF257" s="190">
        <f t="shared" ref="CF257:CF288" si="478">CF90*CF$168</f>
        <v>0</v>
      </c>
      <c r="CG257" s="189">
        <f>$C257+SUM($D257:CF257,CH257:$FB257)-SUM(CG$176:CG256,CG258:CG$330)-CG$331</f>
        <v>-8.6736173798840355E-19</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5.3856030044744719E-16</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6.5843576759221003E-22</v>
      </c>
      <c r="CI258" s="184">
        <f t="shared" ref="CI258:DN258" si="485">CI91*CI$168</f>
        <v>2.6295513731588318E-15</v>
      </c>
      <c r="CJ258" s="184">
        <f t="shared" si="485"/>
        <v>4.2432348408260984E-8</v>
      </c>
      <c r="CK258" s="184">
        <f t="shared" si="485"/>
        <v>3.9591011468836168E-6</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2.612979308307384E-3</v>
      </c>
      <c r="AW259" s="190">
        <f t="shared" si="459"/>
        <v>0</v>
      </c>
      <c r="AX259" s="190">
        <f t="shared" si="465"/>
        <v>0</v>
      </c>
      <c r="AY259" s="190">
        <f t="shared" si="471"/>
        <v>7.5781456303141185E-4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3.118314875919523E-19</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3.5210867081352626E-2</v>
      </c>
      <c r="AX260" s="190">
        <f t="shared" si="465"/>
        <v>0</v>
      </c>
      <c r="AY260" s="190">
        <f t="shared" si="471"/>
        <v>0</v>
      </c>
      <c r="AZ260" s="190">
        <f t="shared" si="477"/>
        <v>2.2423348281249467E-2</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2.6207095431096524E-3</v>
      </c>
      <c r="CJ260" s="189">
        <f>$C260+SUM($D260:CI260,CK260:$FB260)-SUM(CJ$176:CJ259,CJ261:CJ$330)-CJ$331</f>
        <v>-1.0354130747236567E-17</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2.8147056085945298E-6</v>
      </c>
      <c r="AY261" s="190">
        <f t="shared" si="471"/>
        <v>0</v>
      </c>
      <c r="AZ261" s="190">
        <f t="shared" si="477"/>
        <v>0</v>
      </c>
      <c r="BA261" s="190">
        <f t="shared" si="483"/>
        <v>2.0825863932521488E-4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7.5008059420483234E-4</v>
      </c>
      <c r="CJ261" s="190">
        <f t="shared" ref="CJ261:CJ292" si="502">CJ94*CJ$168</f>
        <v>0</v>
      </c>
      <c r="CK261" s="189">
        <f>$C261+SUM($D261:CJ261,CL261:$FB261)-SUM(CK$176:CK260,CK262:CK$330)-CK$331</f>
        <v>-1.0842021724855044E-19</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1.9711543199911309E-15</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8.9005696821889473E-29</v>
      </c>
      <c r="CM262" s="184">
        <f t="shared" ref="CM262:DR262" si="508">CM95*CM$168</f>
        <v>0</v>
      </c>
      <c r="CN262" s="184">
        <f t="shared" si="508"/>
        <v>0</v>
      </c>
      <c r="CO262" s="184">
        <f t="shared" si="508"/>
        <v>0</v>
      </c>
      <c r="CP262" s="184">
        <f t="shared" si="508"/>
        <v>0</v>
      </c>
      <c r="CQ262" s="184">
        <f t="shared" si="508"/>
        <v>0</v>
      </c>
      <c r="CR262" s="184">
        <f t="shared" si="508"/>
        <v>0</v>
      </c>
      <c r="CS262" s="184">
        <f t="shared" si="508"/>
        <v>8.9898849483964335E-15</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2.9144923061361915E-24</v>
      </c>
      <c r="DF262" s="184">
        <f t="shared" si="508"/>
        <v>0</v>
      </c>
      <c r="DG262" s="184">
        <f t="shared" si="508"/>
        <v>0</v>
      </c>
      <c r="DH262" s="184">
        <f t="shared" si="508"/>
        <v>0</v>
      </c>
      <c r="DI262" s="184">
        <f t="shared" si="508"/>
        <v>2.9189776614708189E-15</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8.6447291746587048E-13</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2.2297218013299092E-2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-8.6325892215014053E-19</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1.7859799075659345E-6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1.6939776040329041E-6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3.6599725840962805</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1.9931448149488846E-2</v>
      </c>
      <c r="CN264" s="189">
        <f>$C264+SUM($D264:CM264,CO264:$FB264)-SUM(CN$176:CN263,CN265:CN$330)-CN$331</f>
        <v>1.0460382560140147E-15</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0.35449998427778573</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0.36206320989817242</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8.0325503115694167E-5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6.1963302095079234E-5</v>
      </c>
      <c r="CN265" s="190">
        <f t="shared" ref="CN265:CN296" si="522">CN98*CN$168</f>
        <v>0</v>
      </c>
      <c r="CO265" s="189">
        <f>$C265+SUM($D265:CN265,CP265:$FB265)-SUM(CO$176:CO264,CO266:CO$330)-CO$331</f>
        <v>-7.9858084287400674E-21</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2.7050622199914791E-8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5.5993855328599482E-9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3.6995042756676121E-4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0.37320057483554242</v>
      </c>
      <c r="CO267" s="190">
        <f t="shared" si="527"/>
        <v>0</v>
      </c>
      <c r="CP267" s="190">
        <f t="shared" ref="CP267:CP298" si="532">CP100*CP$168</f>
        <v>0</v>
      </c>
      <c r="CQ267" s="189">
        <f>$C267+SUM($D267:CP267,CR267:$FB267)-SUM(CQ$176:CQ266,CQ268:CQ$330)-CQ$331</f>
        <v>5.5511151231257827E-17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1.382755060244834E-4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74150.294864501135</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3.8279048195856456E-13</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1.6257802878951699E-9</v>
      </c>
      <c r="CT269" s="184">
        <f t="shared" ref="CT269:DY269" si="543">CT102*CT$168</f>
        <v>3.4489901533170915E-14</v>
      </c>
      <c r="CU269" s="184">
        <f t="shared" si="543"/>
        <v>9.8758566163790973E-2</v>
      </c>
      <c r="CV269" s="184">
        <f t="shared" si="543"/>
        <v>3.4688887207936378E-6</v>
      </c>
      <c r="CW269" s="184">
        <f t="shared" si="543"/>
        <v>3044399.2588642053</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1.3717993234605688E-6</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472644.26372073853</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4.7691869761816094E-7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8.5519540473184569E-4</v>
      </c>
      <c r="CN270" s="190">
        <f t="shared" si="522"/>
        <v>0</v>
      </c>
      <c r="CO270" s="190">
        <f t="shared" si="527"/>
        <v>0</v>
      </c>
      <c r="CP270" s="190">
        <f t="shared" si="532"/>
        <v>1.849752137833806E-4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2.3647835615305051E-13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9.0533931350009423E-10</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9.1275420984661881E-11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6002.7096104349375</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1.2436775883006876</v>
      </c>
      <c r="CO271" s="190">
        <f t="shared" si="527"/>
        <v>0</v>
      </c>
      <c r="CP271" s="190">
        <f t="shared" si="532"/>
        <v>0</v>
      </c>
      <c r="CQ271" s="190">
        <f t="shared" si="537"/>
        <v>0.18660028741777118</v>
      </c>
      <c r="CR271" s="190">
        <f t="shared" si="542"/>
        <v>0</v>
      </c>
      <c r="CS271" s="190">
        <f t="shared" si="547"/>
        <v>0</v>
      </c>
      <c r="CT271" s="190">
        <f t="shared" ref="CT271:CT302" si="552">CT104*CT$168</f>
        <v>1.02363928882893E-3</v>
      </c>
      <c r="CU271" s="189">
        <f>$C271+SUM($D271:CT271,CV271:$FB271)-SUM(CU$176:CU270,CU272:CU$330)-CU$331</f>
        <v>0</v>
      </c>
      <c r="CV271" s="184">
        <f t="shared" ref="CV271:EA271" si="553">CV104*CV$168</f>
        <v>0</v>
      </c>
      <c r="CW271" s="184">
        <f t="shared" si="553"/>
        <v>0</v>
      </c>
      <c r="CX271" s="184">
        <f t="shared" si="553"/>
        <v>0</v>
      </c>
      <c r="CY271" s="184">
        <f t="shared" si="553"/>
        <v>246434.54236427171</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0.47703993416975071</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38251.803621439343</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0.2351876350964692</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9.344266427540159E-7</v>
      </c>
      <c r="CP272" s="190">
        <f t="shared" si="532"/>
        <v>0</v>
      </c>
      <c r="CQ272" s="190">
        <f t="shared" si="537"/>
        <v>0</v>
      </c>
      <c r="CR272" s="190">
        <f t="shared" si="542"/>
        <v>6.9137753012241698E-5</v>
      </c>
      <c r="CS272" s="190">
        <f t="shared" si="547"/>
        <v>0</v>
      </c>
      <c r="CT272" s="190">
        <f t="shared" si="552"/>
        <v>1.6907894497462506E-5</v>
      </c>
      <c r="CU272" s="190">
        <f t="shared" ref="CU272:CU303" si="557">CU105*CU$168</f>
        <v>0</v>
      </c>
      <c r="CV272" s="189">
        <f>$C272+SUM($D272:CU272,CW272:$FB272)-SUM(CV$176:CV271,CV273:CV$330)-CV$331</f>
        <v>3.5527136788005009E-15</v>
      </c>
      <c r="CW272" s="184">
        <f t="shared" ref="CW272:EB272" si="558">CW105*CW$168</f>
        <v>0</v>
      </c>
      <c r="CX272" s="184">
        <f t="shared" si="558"/>
        <v>0</v>
      </c>
      <c r="CY272" s="184">
        <f t="shared" si="558"/>
        <v>0</v>
      </c>
      <c r="CZ272" s="184">
        <f t="shared" si="558"/>
        <v>17.465379019173845</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2.5211681347997602E-4</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2.6947274390402907</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3044395.4243658665</v>
      </c>
      <c r="CT273" s="190">
        <f t="shared" si="552"/>
        <v>0</v>
      </c>
      <c r="CU273" s="190">
        <f t="shared" si="557"/>
        <v>0</v>
      </c>
      <c r="CV273" s="190">
        <f t="shared" ref="CV273:CV304" si="563">CV106*CV$168</f>
        <v>0</v>
      </c>
      <c r="CW273" s="189">
        <f>$C273+SUM($D273:CV273,CX273:$FB273)-SUM(CW$176:CW272,CW274:CW$330)-CW$331</f>
        <v>-1.0542231664802418E-9</v>
      </c>
      <c r="CX273" s="184">
        <f t="shared" ref="CX273:EC273" si="564">CX106*CX$168</f>
        <v>2.8478573724155972E-18</v>
      </c>
      <c r="CY273" s="184">
        <f t="shared" si="564"/>
        <v>2.9677575559419829</v>
      </c>
      <c r="CZ273" s="184">
        <f t="shared" si="564"/>
        <v>2.1033175809796116E-4</v>
      </c>
      <c r="DA273" s="184">
        <f t="shared" si="564"/>
        <v>5944.5777133201937</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472638.6115706783</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8.5919044119716967E-8</v>
      </c>
      <c r="CU274" s="190">
        <f t="shared" si="557"/>
        <v>0</v>
      </c>
      <c r="CV274" s="190">
        <f t="shared" si="563"/>
        <v>0</v>
      </c>
      <c r="CW274" s="190">
        <f t="shared" ref="CW274:CW305" si="569">CW107*CW$168</f>
        <v>0</v>
      </c>
      <c r="CX274" s="189">
        <f>$C274+SUM($D274:CW274,CY274:$FB274)-SUM(CX$176:CX273,CX275:CX$330)-CX$331</f>
        <v>1.3234889800848443E-23</v>
      </c>
      <c r="CY274" s="184">
        <f t="shared" ref="CY274:ED274" si="570">CY107*CY$168</f>
        <v>0</v>
      </c>
      <c r="CZ274" s="184">
        <f t="shared" si="570"/>
        <v>0</v>
      </c>
      <c r="DA274" s="184">
        <f t="shared" si="570"/>
        <v>0</v>
      </c>
      <c r="DB274" s="184">
        <f t="shared" si="570"/>
        <v>1.2444257635645505E-24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5.323864798393112E-16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246503.77115788459</v>
      </c>
      <c r="CV275" s="190">
        <f t="shared" si="563"/>
        <v>0</v>
      </c>
      <c r="CW275" s="190">
        <f t="shared" si="569"/>
        <v>0</v>
      </c>
      <c r="CX275" s="190">
        <f t="shared" ref="CX275:CX306" si="575">CX108*CX$168</f>
        <v>8.4522673762406442E-8</v>
      </c>
      <c r="CY275" s="189">
        <f>$C275+SUM($D275:CX275,CZ275:$FB275)-SUM(CY$176:CY274,CY276:CY$330)-CY$331</f>
        <v>5.8207660913467407E-11</v>
      </c>
      <c r="CZ275" s="184">
        <f t="shared" ref="CZ275:EE275" si="576">CZ108*CZ$168</f>
        <v>0</v>
      </c>
      <c r="DA275" s="184">
        <f t="shared" si="576"/>
        <v>0</v>
      </c>
      <c r="DB275" s="184">
        <f t="shared" si="576"/>
        <v>0</v>
      </c>
      <c r="DC275" s="184">
        <f t="shared" si="576"/>
        <v>485.12768121127499</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38192.398915088663</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18.8435606906557</v>
      </c>
      <c r="CW276" s="190">
        <f t="shared" si="569"/>
        <v>0</v>
      </c>
      <c r="CX276" s="190">
        <f t="shared" si="575"/>
        <v>1.3960976939964257E-9</v>
      </c>
      <c r="CY276" s="190">
        <f t="shared" ref="CY276:CY307" si="581">CY109*CY$168</f>
        <v>0</v>
      </c>
      <c r="CZ276" s="189">
        <f>$C276+SUM($D276:CY276,DA276:$FB276)-SUM(CZ$176:CZ275,CZ277:CZ$330)-CZ$331</f>
        <v>-7.1054273576010019E-15</v>
      </c>
      <c r="DA276" s="184">
        <f t="shared" ref="DA276:EF276" si="582">DA109*DA$168</f>
        <v>0</v>
      </c>
      <c r="DB276" s="184">
        <f t="shared" si="582"/>
        <v>0</v>
      </c>
      <c r="DC276" s="184">
        <f t="shared" si="582"/>
        <v>0</v>
      </c>
      <c r="DD276" s="184">
        <f t="shared" si="582"/>
        <v>20.613330975353193</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1.3399829030488495</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5944.963809227339</v>
      </c>
      <c r="CX277" s="190">
        <f t="shared" si="575"/>
        <v>0</v>
      </c>
      <c r="CY277" s="190">
        <f t="shared" si="581"/>
        <v>0</v>
      </c>
      <c r="CZ277" s="190">
        <f t="shared" ref="CZ277:CZ308" si="587">CZ110*CZ$168</f>
        <v>0</v>
      </c>
      <c r="DA277" s="189">
        <f>$C277+SUM($D277:CZ277,DB277:$FB277)-SUM(DA$176:DA276,DA278:DA$330)-DA$331</f>
        <v>1.1715628467356964E-12</v>
      </c>
      <c r="DB277" s="184">
        <f t="shared" ref="DB277:EG277" si="588">DB110*DB$168</f>
        <v>1.2697588338511311E-29</v>
      </c>
      <c r="DC277" s="184">
        <f t="shared" si="588"/>
        <v>4.9500354042756774E-3</v>
      </c>
      <c r="DD277" s="184">
        <f t="shared" si="588"/>
        <v>2.1032961440848685E-4</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1.6687724185188723E-18</v>
      </c>
      <c r="CY278" s="190">
        <f t="shared" si="581"/>
        <v>0</v>
      </c>
      <c r="CZ278" s="190">
        <f t="shared" si="587"/>
        <v>0</v>
      </c>
      <c r="DA278" s="190">
        <f t="shared" ref="DA278:DA309" si="593">DA111*DA$168</f>
        <v>0</v>
      </c>
      <c r="DB278" s="189">
        <f>$C278+SUM($D278:DA278,DC278:$FB278)-SUM(DB$176:DB277,DB279:DB$330)-DB$331</f>
        <v>-4.6057228906757583E-34</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485.28033705169514</v>
      </c>
      <c r="CZ279" s="190">
        <f t="shared" si="587"/>
        <v>0</v>
      </c>
      <c r="DA279" s="190">
        <f t="shared" si="593"/>
        <v>0</v>
      </c>
      <c r="DB279" s="190">
        <f t="shared" ref="DB279:DB310" si="599">DB112*DB$168</f>
        <v>7.5326743295830328E-19</v>
      </c>
      <c r="DC279" s="189">
        <f>$C279+SUM($D279:DB279,DD279:$FB279)-SUM(DC$176:DC278,DC280:DC$330)-DC$331</f>
        <v>9.2398311224428653E-14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20.619817402505827</v>
      </c>
      <c r="DA280" s="190">
        <f t="shared" si="593"/>
        <v>0</v>
      </c>
      <c r="DB280" s="190">
        <f t="shared" si="599"/>
        <v>9.1550374074322068E-19</v>
      </c>
      <c r="DC280" s="190">
        <f t="shared" ref="DC280:DC311" si="605">DC113*DC$168</f>
        <v>0</v>
      </c>
      <c r="DD280" s="189">
        <f>$C280+SUM($D280:DC280,DE280:$FB280)-SUM(DD$176:DD279,DD281:DD$330)-DD$331</f>
        <v>7.2893080460545434E-15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3.8279048195845273E-13</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-4.1193594505140778E-22</v>
      </c>
      <c r="DF281" s="184">
        <f t="shared" ref="DF281:EK281" si="612">DF114*DF$168</f>
        <v>6.4184808676509345E-16</v>
      </c>
      <c r="DG281" s="184">
        <f t="shared" si="612"/>
        <v>3.3820156099668677E-7</v>
      </c>
      <c r="DH281" s="184">
        <f t="shared" si="612"/>
        <v>1.0427928837261557E-6</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6.378030058333331E-4</v>
      </c>
      <c r="CN282" s="190">
        <f t="shared" si="522"/>
        <v>0</v>
      </c>
      <c r="CO282" s="190">
        <f t="shared" si="527"/>
        <v>0</v>
      </c>
      <c r="CP282" s="190">
        <f t="shared" si="532"/>
        <v>1.849752137833806E-4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-7.7193788040949224E-20</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0.29301413130631837</v>
      </c>
      <c r="CO283" s="190">
        <f t="shared" si="527"/>
        <v>0</v>
      </c>
      <c r="CP283" s="190">
        <f t="shared" si="532"/>
        <v>0</v>
      </c>
      <c r="CQ283" s="190">
        <f t="shared" si="537"/>
        <v>0.18660028741777118</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6.3968988146874644E-4</v>
      </c>
      <c r="DG283" s="189">
        <f>$C283+SUM($D283:DF283,DH283:$FB283)-SUM(DG$176:DG282,DG284:DG$330)-DG$331</f>
        <v>7.3725747729014302E-18</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9.344266427540159E-7</v>
      </c>
      <c r="CP284" s="190">
        <f t="shared" si="532"/>
        <v>0</v>
      </c>
      <c r="CQ284" s="190">
        <f t="shared" si="537"/>
        <v>0</v>
      </c>
      <c r="CR284" s="190">
        <f t="shared" si="542"/>
        <v>6.9137753012241698E-5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1.8308742670870647E-4</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3.6720433808540989E-14</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-5.4253446533388434E-30</v>
      </c>
      <c r="DJ285" s="184">
        <f t="shared" ref="DJ285:FB285" si="633">DJ118*DJ$168</f>
        <v>0</v>
      </c>
      <c r="DK285" s="184">
        <f t="shared" si="633"/>
        <v>0</v>
      </c>
      <c r="DL285" s="184">
        <f t="shared" si="633"/>
        <v>0</v>
      </c>
      <c r="DM285" s="184">
        <f t="shared" si="633"/>
        <v>0</v>
      </c>
      <c r="DN285" s="184">
        <f t="shared" si="633"/>
        <v>0</v>
      </c>
      <c r="DO285" s="184">
        <f t="shared" si="633"/>
        <v>0</v>
      </c>
      <c r="DP285" s="184">
        <f t="shared" si="633"/>
        <v>1.6039183256666079E-20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2.013566464182555E-30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1.4468375729890801E-4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5.5922165697106851E-20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0.80967025591341923</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1.3072455954716157E-4</v>
      </c>
      <c r="DK287" s="189">
        <f>$C287+SUM($D287:DJ287,DL287:$FB287)-SUM(DK$176:DK286,DK288:DK$330)-DK$331</f>
        <v>2.1526834134699691E-16</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7.0889872600466814E-7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3.8968691858936524E-7</v>
      </c>
      <c r="DK288" s="190">
        <f t="shared" ref="DK288:DK330" si="647">DK121*DK$168</f>
        <v>0</v>
      </c>
      <c r="DL288" s="189">
        <f>$C288+SUM($D288:DK288,DM288:$FB288)-SUM(DL$176:DL287,DL289:DL$330)-DL$331</f>
        <v>1.6348449325286324E-22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1.6389059993401811E-6</v>
      </c>
      <c r="DK289" s="190">
        <f t="shared" si="647"/>
        <v>0</v>
      </c>
      <c r="DL289" s="190">
        <f t="shared" ref="DL289:DL330" si="652">DL122*DL$168</f>
        <v>0</v>
      </c>
      <c r="DM289" s="189">
        <f>$C289+SUM($D289:DL289,DN289:$FB289)-SUM(DM$176:DM288,DM290:DM$330)-DM$331</f>
        <v>4.2351647362715017E-22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5.5843194905958342E-2</v>
      </c>
      <c r="DL290" s="190">
        <f t="shared" si="652"/>
        <v>0</v>
      </c>
      <c r="DM290" s="190">
        <f t="shared" ref="DM290:DM330" si="657">DM123*DM$168</f>
        <v>0</v>
      </c>
      <c r="DN290" s="189">
        <f>$C290+SUM($D290:DM290,DO290:$FB290)-SUM(DN$176:DN289,DN291:DN$330)-DN$331</f>
        <v>-6.9388939039072284E-18</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1.0324495047840472E-6</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472636.76364405174</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2.0279956633352589E-14</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-2.6523685530753454E-10</v>
      </c>
      <c r="DQ292" s="184">
        <f t="shared" ref="DQ292:FB292" si="668">DQ125*DQ$168</f>
        <v>2.8091845282722164E-16</v>
      </c>
      <c r="DR292" s="184">
        <f t="shared" si="668"/>
        <v>7.8968103384240804E-2</v>
      </c>
      <c r="DS292" s="184">
        <f t="shared" si="668"/>
        <v>1.3268930925947517E-6</v>
      </c>
      <c r="DT292" s="184">
        <f t="shared" si="668"/>
        <v>2163475.3953883406</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1.533904146822831E-7</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1.3338678694782359E-8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6.8300448757934684E-6</v>
      </c>
      <c r="DK293" s="190">
        <f t="shared" si="647"/>
        <v>0</v>
      </c>
      <c r="DL293" s="190">
        <f t="shared" si="652"/>
        <v>0</v>
      </c>
      <c r="DM293" s="190">
        <f t="shared" si="657"/>
        <v>9.8334359960410839E-7</v>
      </c>
      <c r="DN293" s="190">
        <f t="shared" si="662"/>
        <v>0</v>
      </c>
      <c r="DO293" s="190">
        <f t="shared" si="667"/>
        <v>0</v>
      </c>
      <c r="DP293" s="190">
        <f t="shared" ref="DP293:DP330" si="672">DP126*DP$168</f>
        <v>0</v>
      </c>
      <c r="DQ293" s="189">
        <f>$C293+SUM($D293:DP293,DR293:$FB293)-SUM(DQ$176:DQ292,DQ294:DQ$330)-DQ$331</f>
        <v>-1.6940658945086007E-21</v>
      </c>
      <c r="DR293" s="184">
        <f t="shared" ref="DR293:FB293" si="673">DR126*DR$168</f>
        <v>0</v>
      </c>
      <c r="DS293" s="184">
        <f t="shared" si="673"/>
        <v>0</v>
      </c>
      <c r="DT293" s="184">
        <f t="shared" si="673"/>
        <v>0</v>
      </c>
      <c r="DU293" s="184">
        <f t="shared" si="673"/>
        <v>2.4369677418907192E-15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1.680408365492575E-12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38194.043005581829</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0.34606318016297133</v>
      </c>
      <c r="DL294" s="190">
        <f t="shared" si="652"/>
        <v>0</v>
      </c>
      <c r="DM294" s="190">
        <f t="shared" si="657"/>
        <v>0</v>
      </c>
      <c r="DN294" s="190">
        <f t="shared" si="662"/>
        <v>3.3505916943575006E-2</v>
      </c>
      <c r="DO294" s="190">
        <f t="shared" si="667"/>
        <v>0</v>
      </c>
      <c r="DP294" s="190">
        <f t="shared" si="672"/>
        <v>0</v>
      </c>
      <c r="DQ294" s="190">
        <f t="shared" ref="DQ294:DQ330" si="677">DQ127*DQ$168</f>
        <v>7.6943022010701386E-6</v>
      </c>
      <c r="DR294" s="189">
        <f>$C294+SUM($D294:DQ294,DS294:$FB294)-SUM(DR$176:DR293,DR295:DR$330)-DR$331</f>
        <v>2.9103830456733704E-11</v>
      </c>
      <c r="DS294" s="184">
        <f t="shared" ref="DS294:FB294" si="678">DS127*DS$168</f>
        <v>0</v>
      </c>
      <c r="DT294" s="184">
        <f t="shared" si="678"/>
        <v>0</v>
      </c>
      <c r="DU294" s="184">
        <f t="shared" si="678"/>
        <v>0</v>
      </c>
      <c r="DV294" s="184">
        <f t="shared" si="678"/>
        <v>174823.4556399429</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7.5041810568823572E-2</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1.3415634727202697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2.3442722892483055E-8</v>
      </c>
      <c r="DM295" s="190">
        <f t="shared" si="657"/>
        <v>0</v>
      </c>
      <c r="DN295" s="190">
        <f t="shared" si="662"/>
        <v>0</v>
      </c>
      <c r="DO295" s="190">
        <f t="shared" si="667"/>
        <v>6.1946970287042837E-7</v>
      </c>
      <c r="DP295" s="190">
        <f t="shared" si="672"/>
        <v>0</v>
      </c>
      <c r="DQ295" s="190">
        <f t="shared" si="677"/>
        <v>1.3167022613925588E-7</v>
      </c>
      <c r="DR295" s="190">
        <f t="shared" ref="DR295:DR330" si="682">DR128*DR$168</f>
        <v>0</v>
      </c>
      <c r="DS295" s="189">
        <f>$C295+SUM($D295:DR295,DT295:$FB295)-SUM(DS$176:DS294,DS296:DS$330)-DS$331</f>
        <v>8.8817841970012523E-16</v>
      </c>
      <c r="DT295" s="184">
        <f t="shared" ref="DT295:FB295" si="683">DT128*DT$168</f>
        <v>0</v>
      </c>
      <c r="DU295" s="184">
        <f t="shared" si="683"/>
        <v>0</v>
      </c>
      <c r="DV295" s="184">
        <f t="shared" si="683"/>
        <v>0</v>
      </c>
      <c r="DW295" s="184">
        <f t="shared" si="683"/>
        <v>6.1336927834845483</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1.3251517969618439E-6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2636112.2380019673</v>
      </c>
      <c r="DQ296" s="190">
        <f t="shared" si="677"/>
        <v>0</v>
      </c>
      <c r="DR296" s="190">
        <f t="shared" si="682"/>
        <v>0</v>
      </c>
      <c r="DS296" s="190">
        <f t="shared" ref="DS296:DS330" si="687">DS129*DS$168</f>
        <v>0</v>
      </c>
      <c r="DT296" s="189">
        <f>$C296+SUM($D296:DS296,DU296:$FB296)-SUM(DT$176:DT295,DT297:DT$330)-DT$331</f>
        <v>-9.5805679089511641E-11</v>
      </c>
      <c r="DU296" s="184">
        <f t="shared" ref="DU296:FB296" si="688">DU129*DU$168</f>
        <v>2.7151710471804867E-20</v>
      </c>
      <c r="DV296" s="184">
        <f t="shared" si="688"/>
        <v>1.9478123446695219</v>
      </c>
      <c r="DW296" s="184">
        <f t="shared" si="688"/>
        <v>6.8339128055491325E-5</v>
      </c>
      <c r="DX296" s="184">
        <f t="shared" si="688"/>
        <v>3908.4113264840325</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7.5640944738186873E-10</v>
      </c>
      <c r="DR297" s="190">
        <f t="shared" si="682"/>
        <v>0</v>
      </c>
      <c r="DS297" s="190">
        <f t="shared" si="687"/>
        <v>0</v>
      </c>
      <c r="DT297" s="190">
        <f t="shared" ref="DT297:DT330" si="692">DT130*DT$168</f>
        <v>0</v>
      </c>
      <c r="DU297" s="189">
        <f>$C297+SUM($D297:DT297,DV297:$FB297)-SUM(DU$176:DU296,DU298:DU$330)-DU$331</f>
        <v>2.0679515313825692E-25</v>
      </c>
      <c r="DV297" s="184">
        <f t="shared" ref="DV297:FB297" si="693">DV130*DV$168</f>
        <v>0</v>
      </c>
      <c r="DW297" s="184">
        <f t="shared" si="693"/>
        <v>0</v>
      </c>
      <c r="DX297" s="184">
        <f t="shared" si="693"/>
        <v>0</v>
      </c>
      <c r="DY297" s="184">
        <f t="shared" si="693"/>
        <v>1.2666755259283336E-26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213017.87429602331</v>
      </c>
      <c r="DS298" s="190">
        <f t="shared" si="687"/>
        <v>0</v>
      </c>
      <c r="DT298" s="190">
        <f t="shared" si="692"/>
        <v>0</v>
      </c>
      <c r="DU298" s="190">
        <f t="shared" ref="DU298:DU330" si="697">DU131*DU$168</f>
        <v>7.4368010909742253E-10</v>
      </c>
      <c r="DV298" s="189">
        <f>$C298+SUM($D298:DU298,DW298:$FB298)-SUM(DV$176:DV297,DV299:DV$330)-DV$331</f>
        <v>0</v>
      </c>
      <c r="DW298" s="184">
        <f t="shared" ref="DW298:FB298" si="698">DW131*DW$168</f>
        <v>0</v>
      </c>
      <c r="DX298" s="184">
        <f t="shared" si="698"/>
        <v>0</v>
      </c>
      <c r="DY298" s="184">
        <f t="shared" si="698"/>
        <v>0</v>
      </c>
      <c r="DZ298" s="184">
        <f t="shared" si="698"/>
        <v>318.42950326403314</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7.4752570290461735</v>
      </c>
      <c r="DT299" s="190">
        <f t="shared" si="692"/>
        <v>0</v>
      </c>
      <c r="DU299" s="190">
        <f t="shared" si="697"/>
        <v>1.272636888716239E-11</v>
      </c>
      <c r="DV299" s="190">
        <f t="shared" ref="DV299:DV330" si="702">DV132*DV$168</f>
        <v>0</v>
      </c>
      <c r="DW299" s="189">
        <f>$C299+SUM($D299:DV299,DX299:$FB299)-SUM(DW$176:DW298,DW300:DW$330)-DW$331</f>
        <v>0</v>
      </c>
      <c r="DX299" s="184">
        <f t="shared" ref="DX299:FB299" si="703">DX132*DX$168</f>
        <v>0</v>
      </c>
      <c r="DY299" s="184">
        <f t="shared" si="703"/>
        <v>0</v>
      </c>
      <c r="DZ299" s="184">
        <f t="shared" si="703"/>
        <v>0</v>
      </c>
      <c r="EA299" s="184">
        <f t="shared" si="703"/>
        <v>6.6980950571903062</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3908.5902499036456</v>
      </c>
      <c r="DU300" s="190">
        <f t="shared" si="697"/>
        <v>0</v>
      </c>
      <c r="DV300" s="190">
        <f t="shared" si="702"/>
        <v>0</v>
      </c>
      <c r="DW300" s="190">
        <f t="shared" ref="DW300:DW330" si="707">DW133*DW$168</f>
        <v>0</v>
      </c>
      <c r="DX300" s="189">
        <f>$C300+SUM($D300:DW300,DY300:$FB300)-SUM(DX$176:DX299,DX301:DX$330)-DX$331</f>
        <v>4.113376306236205E-13</v>
      </c>
      <c r="DY300" s="184">
        <f t="shared" ref="DY300:FB300" si="708">DY133*DY$168</f>
        <v>1.292346823712299E-31</v>
      </c>
      <c r="DZ300" s="184">
        <f t="shared" si="708"/>
        <v>3.2488300965470901E-3</v>
      </c>
      <c r="EA300" s="184">
        <f t="shared" si="708"/>
        <v>6.8338431546933505E-5</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1.5910215866086485E-20</v>
      </c>
      <c r="DV301" s="190">
        <f t="shared" si="702"/>
        <v>0</v>
      </c>
      <c r="DW301" s="190">
        <f t="shared" si="707"/>
        <v>0</v>
      </c>
      <c r="DX301" s="190">
        <f t="shared" ref="DX301:DX330" si="712">DX134*DX$168</f>
        <v>0</v>
      </c>
      <c r="DY301" s="189">
        <f>$C301+SUM($D301:DX301,DZ301:$FB301)-SUM(DY$176:DY300,DY302:DY$330)-DY$331</f>
        <v>3.5943653836103189E-36</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318.50143191183116</v>
      </c>
      <c r="DW302" s="190">
        <f t="shared" si="707"/>
        <v>0</v>
      </c>
      <c r="DX302" s="190">
        <f t="shared" si="712"/>
        <v>0</v>
      </c>
      <c r="DY302" s="190">
        <f t="shared" ref="DY302:DY330" si="717">DY135*DY$168</f>
        <v>7.0748871124128324E-21</v>
      </c>
      <c r="DZ302" s="189">
        <f>$C302+SUM($D302:DY302,EA302:$FB302)-SUM(DZ$176:DZ301,DZ303:DZ$330)-DZ$331</f>
        <v>7.8714812445923599E-14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6.6996080605877539</v>
      </c>
      <c r="DX303" s="190">
        <f t="shared" si="712"/>
        <v>0</v>
      </c>
      <c r="DY303" s="190">
        <f t="shared" si="717"/>
        <v>8.8353160840571524E-21</v>
      </c>
      <c r="DZ303" s="190">
        <f t="shared" ref="DZ303:DZ330" si="722">DZ136*DZ$168</f>
        <v>0</v>
      </c>
      <c r="EA303" s="189">
        <f>$C303+SUM($D303:DZ303,EB303:$FB303)-SUM(EA$176:EA302,EA304:EA$330)-EA$331</f>
        <v>1.2496514240067924E-15</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1.3519971088901727E-14</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1.7991178323028352E-23</v>
      </c>
      <c r="EC304" s="184">
        <f t="shared" ref="EC304:FB304" si="728">EC137*EC$168</f>
        <v>3.3349421617902885E-18</v>
      </c>
      <c r="ED304" s="184">
        <f t="shared" si="728"/>
        <v>1.4892814336215919E-7</v>
      </c>
      <c r="EE304" s="184">
        <f t="shared" si="728"/>
        <v>5.4810262142175238E-9</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3.3136350683471934E-6</v>
      </c>
      <c r="DK305" s="190">
        <f t="shared" si="647"/>
        <v>0</v>
      </c>
      <c r="DL305" s="190">
        <f t="shared" si="652"/>
        <v>0</v>
      </c>
      <c r="DM305" s="190">
        <f t="shared" si="657"/>
        <v>6.5556239973607226E-7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6.1985519973605568E-22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5.3207051186736999E-2</v>
      </c>
      <c r="DL306" s="190">
        <f t="shared" si="652"/>
        <v>0</v>
      </c>
      <c r="DM306" s="190">
        <f t="shared" si="657"/>
        <v>0</v>
      </c>
      <c r="DN306" s="190">
        <f t="shared" si="662"/>
        <v>2.2337277962383339E-2</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3.0671712370192168E-6</v>
      </c>
      <c r="ED306" s="189">
        <f>$C306+SUM($D306:EC306,EE306:$FB306)-SUM(ED$176:ED305,ED307:ED$330)-ED$331</f>
        <v>-3.4694469519536142E-18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1.5628481928322038E-8</v>
      </c>
      <c r="DM307" s="190">
        <f t="shared" si="657"/>
        <v>0</v>
      </c>
      <c r="DN307" s="190">
        <f t="shared" si="662"/>
        <v>0</v>
      </c>
      <c r="DO307" s="190">
        <f t="shared" si="667"/>
        <v>4.1297980191361884E-7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9.0202453933412059E-7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6.3601657032362937E-14</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8.6052891846034073E-27</v>
      </c>
      <c r="EG308" s="190">
        <f t="shared" ref="EG308:FB308" si="752">EG141*EG$168</f>
        <v>0</v>
      </c>
      <c r="EH308" s="190">
        <f t="shared" si="752"/>
        <v>0</v>
      </c>
      <c r="EI308" s="190">
        <f t="shared" si="752"/>
        <v>0</v>
      </c>
      <c r="EJ308" s="190">
        <f t="shared" si="752"/>
        <v>0</v>
      </c>
      <c r="EK308" s="190">
        <f t="shared" si="752"/>
        <v>0</v>
      </c>
      <c r="EL308" s="190">
        <f t="shared" si="752"/>
        <v>0</v>
      </c>
      <c r="EM308" s="190">
        <f t="shared" si="752"/>
        <v>1.8289976887208416E-11</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6.1336516720424151E-23</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2.5059961867167309E-4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3.6830630364229834E-20</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1.4023900206193374</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2.2512265480986718E-4</v>
      </c>
      <c r="EH310" s="189">
        <f>$C310+SUM($D310:EG310,EI310:$FB310)-SUM(EH$176:EH309,EH311:EH$330)-EH$331</f>
        <v>1.0652286344670081E-16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1.2278486108609339E-6</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7.16609668938023E-7</v>
      </c>
      <c r="EH311" s="190">
        <f t="shared" ref="EH311:EH330" si="769">EH144*EH$168</f>
        <v>0</v>
      </c>
      <c r="EI311" s="189">
        <f>$C311+SUM($D311:EH311,EJ311:$FB311)-SUM(EI$176:EI310,EI312:EI$330)-EI$331</f>
        <v>1.8111539564503353E-23</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5.2979257920206973E-6</v>
      </c>
      <c r="EH312" s="190">
        <f t="shared" si="769"/>
        <v>0</v>
      </c>
      <c r="EI312" s="190">
        <f t="shared" ref="EI312:EI330" si="775">EI145*EI$168</f>
        <v>0</v>
      </c>
      <c r="EJ312" s="189">
        <f>$C312+SUM($D312:EI312,EK312:$FB312)-SUM(EJ$176:EJ311,EJ313:EJ$330)-EJ$331</f>
        <v>-8.4703294725430034E-22</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0.21034355352095122</v>
      </c>
      <c r="EI313" s="190">
        <f t="shared" si="775"/>
        <v>0</v>
      </c>
      <c r="EJ313" s="190">
        <f t="shared" ref="EJ313:EJ330" si="781">EJ146*EJ$168</f>
        <v>0</v>
      </c>
      <c r="EK313" s="189">
        <f>$C313+SUM($D313:EJ313,EL313:$FB313)-SUM(EK$176:EK312,EK314:EK$330)-EK$331</f>
        <v>-2.7755575615628914E-17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1.9248456204845351E-6</v>
      </c>
      <c r="EJ314" s="190">
        <f t="shared" si="781"/>
        <v>0</v>
      </c>
      <c r="EK314" s="190">
        <f t="shared" ref="EK314:EK330" si="787">EK147*EK$168</f>
        <v>0</v>
      </c>
      <c r="EL314" s="189">
        <f>$C314+SUM($D314:EK314,EM314:$FB314)-SUM(EL$176:EL313,EL315:EL$330)-EL$331</f>
        <v>-8.4703294725430034E-22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1.2241819367888944E-11</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2.3841574132580481E-10</v>
      </c>
      <c r="EN315" s="190">
        <f t="shared" ref="EN315:FB315" si="793">EN148*EN$168</f>
        <v>5.4308875485873813E-16</v>
      </c>
      <c r="EO315" s="190">
        <f t="shared" si="793"/>
        <v>0.22759823154756406</v>
      </c>
      <c r="EP315" s="190">
        <f t="shared" si="793"/>
        <v>1.6033628262289727E-5</v>
      </c>
      <c r="EQ315" s="190">
        <f t="shared" si="793"/>
        <v>6863287.8140075542</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6.0519370557617717E-8</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1.341921514451143E-5</v>
      </c>
      <c r="EH316" s="190">
        <f t="shared" si="769"/>
        <v>0</v>
      </c>
      <c r="EI316" s="190">
        <f t="shared" si="775"/>
        <v>0</v>
      </c>
      <c r="EJ316" s="190">
        <f t="shared" si="781"/>
        <v>3.7085480544144886E-6</v>
      </c>
      <c r="EK316" s="190">
        <f t="shared" si="787"/>
        <v>0</v>
      </c>
      <c r="EL316" s="190">
        <f t="shared" si="792"/>
        <v>0</v>
      </c>
      <c r="EM316" s="190">
        <f t="shared" ref="EM316:EM330" si="797">EM149*EM$168</f>
        <v>0</v>
      </c>
      <c r="EN316" s="189">
        <f>$C316+SUM($D316:EM316,EO316:$FB316)-SUM(EN$176:EN315,EN317:EN$330)-EN$331</f>
        <v>6.7762635780344027E-21</v>
      </c>
      <c r="EO316" s="190">
        <f t="shared" ref="EO316:FB316" si="798">EO149*EO$168</f>
        <v>0</v>
      </c>
      <c r="EP316" s="190">
        <f t="shared" si="798"/>
        <v>0</v>
      </c>
      <c r="EQ316" s="190">
        <f t="shared" si="798"/>
        <v>0</v>
      </c>
      <c r="ER316" s="190">
        <f t="shared" si="798"/>
        <v>2.9645226390880036E-15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1.1641146476865391E-11</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0.75283583013862598</v>
      </c>
      <c r="EI317" s="190">
        <f t="shared" si="775"/>
        <v>0</v>
      </c>
      <c r="EJ317" s="190">
        <f t="shared" si="781"/>
        <v>0</v>
      </c>
      <c r="EK317" s="190">
        <f t="shared" si="787"/>
        <v>0.14724048746466586</v>
      </c>
      <c r="EL317" s="190">
        <f t="shared" si="792"/>
        <v>0</v>
      </c>
      <c r="EM317" s="190">
        <f t="shared" si="797"/>
        <v>0</v>
      </c>
      <c r="EN317" s="190">
        <f t="shared" ref="EN317:EN330" si="802">EN150*EN$168</f>
        <v>1.6853308228720992E-5</v>
      </c>
      <c r="EO317" s="189">
        <f>$C317+SUM($D317:EN317,EP317:$FB317)-SUM(EO$176:EO316,EO318:EO$330)-EO$331</f>
        <v>0</v>
      </c>
      <c r="EP317" s="190">
        <f t="shared" ref="EP317:FB317" si="803">EP150*EP$168</f>
        <v>0</v>
      </c>
      <c r="EQ317" s="190">
        <f t="shared" si="803"/>
        <v>0</v>
      </c>
      <c r="ER317" s="190">
        <f t="shared" si="803"/>
        <v>0</v>
      </c>
      <c r="ES317" s="190">
        <f t="shared" si="803"/>
        <v>556571.79191180109</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0.13921045744277494</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9.8056995666299199E-9</v>
      </c>
      <c r="EJ318" s="190">
        <f t="shared" si="781"/>
        <v>0</v>
      </c>
      <c r="EK318" s="190">
        <f t="shared" si="787"/>
        <v>0</v>
      </c>
      <c r="EL318" s="190">
        <f t="shared" si="792"/>
        <v>1.347391934339175E-6</v>
      </c>
      <c r="EM318" s="190">
        <f t="shared" si="797"/>
        <v>0</v>
      </c>
      <c r="EN318" s="190">
        <f t="shared" si="802"/>
        <v>2.731411898424101E-7</v>
      </c>
      <c r="EO318" s="190">
        <f t="shared" ref="EO318:EO330" si="807">EO151*EO$168</f>
        <v>0</v>
      </c>
      <c r="EP318" s="189">
        <f>$C318+SUM($D318:EO318,EQ318:$FB318)-SUM(EP$176:EP317,EP319:EP$330)-EP$331</f>
        <v>1.4210854715202004E-14</v>
      </c>
      <c r="EQ318" s="190">
        <f t="shared" ref="EQ318:FB318" si="808">EQ151*EQ$168</f>
        <v>0</v>
      </c>
      <c r="ER318" s="190">
        <f t="shared" si="808"/>
        <v>0</v>
      </c>
      <c r="ES318" s="190">
        <f t="shared" si="808"/>
        <v>0</v>
      </c>
      <c r="ET318" s="190">
        <f t="shared" si="808"/>
        <v>86.285840801668343</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1.8795965387835914E-6</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472637.35894283274</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6390643.7779008597</v>
      </c>
      <c r="EN319" s="190">
        <f t="shared" si="802"/>
        <v>0</v>
      </c>
      <c r="EO319" s="190">
        <f t="shared" si="807"/>
        <v>0</v>
      </c>
      <c r="EP319" s="190">
        <f t="shared" ref="EP319:EP330" si="812">EP152*EP$168</f>
        <v>0</v>
      </c>
      <c r="EQ319" s="189">
        <f>$C319+SUM($D319:EP319,ER319:$FB319)-SUM(EQ$176:EQ318,EQ320:EQ$330)-EQ$331</f>
        <v>-1.6935029846112764E-9</v>
      </c>
      <c r="ER319" s="190">
        <f t="shared" ref="ER319:FB319" si="813">ER152*ER$168</f>
        <v>3.9136571113722458E-20</v>
      </c>
      <c r="ES319" s="190">
        <f t="shared" si="813"/>
        <v>7.3476623948971378</v>
      </c>
      <c r="ET319" s="190">
        <f t="shared" si="813"/>
        <v>1.1391149118296822E-3</v>
      </c>
      <c r="EU319" s="190">
        <f t="shared" si="813"/>
        <v>14691.330536114625</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3.6712827784953082E-14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1.2341485094424469E-9</v>
      </c>
      <c r="EO320" s="190">
        <f t="shared" si="807"/>
        <v>0</v>
      </c>
      <c r="EP320" s="190">
        <f t="shared" si="812"/>
        <v>0</v>
      </c>
      <c r="EQ320" s="190">
        <f t="shared" ref="EQ320:EQ330" si="817">EQ153*EQ$168</f>
        <v>0</v>
      </c>
      <c r="ER320" s="189">
        <f>$C320+SUM($D320:EQ320,ES320:$FB320)-SUM(ER$176:ER319,ER321:ER$330)-ER$331</f>
        <v>-4.1359030627651384E-25</v>
      </c>
      <c r="ES320" s="190">
        <f t="shared" ref="ES320:FB320" si="818">ES153*ES$168</f>
        <v>0</v>
      </c>
      <c r="ET320" s="190">
        <f t="shared" si="818"/>
        <v>0</v>
      </c>
      <c r="EU320" s="190">
        <f t="shared" si="818"/>
        <v>0</v>
      </c>
      <c r="EV320" s="190">
        <f t="shared" si="818"/>
        <v>1.6492294753081524E-26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38258.507295389638</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518320.79999575857</v>
      </c>
      <c r="EP321" s="190">
        <f t="shared" si="812"/>
        <v>0</v>
      </c>
      <c r="EQ321" s="190">
        <f t="shared" si="817"/>
        <v>0</v>
      </c>
      <c r="ER321" s="190">
        <f t="shared" ref="ER321:ER330" si="822">ER154*ER$168</f>
        <v>1.2144989011352028E-9</v>
      </c>
      <c r="ES321" s="189">
        <f>$C321+SUM($D321:ER321,ET321:$FB321)-SUM(ES$176:ES320,ES322:ES$330)-ES$331</f>
        <v>-1.1641532182693481E-10</v>
      </c>
      <c r="ET321" s="190">
        <f t="shared" ref="ET321:FB321" si="823">ET154*ET$168</f>
        <v>0</v>
      </c>
      <c r="EU321" s="190">
        <f t="shared" si="823"/>
        <v>0</v>
      </c>
      <c r="EV321" s="190">
        <f t="shared" si="823"/>
        <v>0</v>
      </c>
      <c r="EW321" s="190">
        <f t="shared" si="823"/>
        <v>1201.3037699604392</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2.7114678170160769</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83.591100838935148</v>
      </c>
      <c r="EQ322" s="190">
        <f t="shared" si="817"/>
        <v>0</v>
      </c>
      <c r="ER322" s="190">
        <f t="shared" si="822"/>
        <v>1.9683356550320688E-11</v>
      </c>
      <c r="ES322" s="190">
        <f t="shared" ref="ES322:ES330" si="827">ES155*ES$168</f>
        <v>0</v>
      </c>
      <c r="ET322" s="189">
        <f>$C322+SUM($D322:ES322,EU322:$FB322)-SUM(ET$176:ET321,ET323:ET$330)-ET$331</f>
        <v>2.8421709430404007E-14</v>
      </c>
      <c r="EU322" s="190">
        <f t="shared" ref="EU322:FB322" si="828">EU155*EU$168</f>
        <v>0</v>
      </c>
      <c r="EV322" s="190">
        <f t="shared" si="828"/>
        <v>0</v>
      </c>
      <c r="EW322" s="190">
        <f t="shared" si="828"/>
        <v>0</v>
      </c>
      <c r="EX322" s="190">
        <f t="shared" si="828"/>
        <v>111.65723563485322</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14692.002164710033</v>
      </c>
      <c r="ER323" s="190">
        <f t="shared" si="822"/>
        <v>0</v>
      </c>
      <c r="ES323" s="190">
        <f t="shared" si="827"/>
        <v>0</v>
      </c>
      <c r="ET323" s="190">
        <f t="shared" ref="ET323:ET330" si="832">ET156*ET$168</f>
        <v>0</v>
      </c>
      <c r="EU323" s="189">
        <f>$C323+SUM($D323:ET323,EV323:$FB323)-SUM(EU$176:EU322,EU324:EU$330)-EU$331</f>
        <v>-4.1416869933641465E-12</v>
      </c>
      <c r="EV323" s="190">
        <f t="shared" ref="EV323:FB323" si="833">EV156*EV$168</f>
        <v>1.6826538686181121E-31</v>
      </c>
      <c r="EW323" s="190">
        <f t="shared" si="833"/>
        <v>1.2256501997890674E-2</v>
      </c>
      <c r="EX323" s="190">
        <f t="shared" si="833"/>
        <v>1.1392015623846714E-3</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2.2933041191801495E-20</v>
      </c>
      <c r="ES324" s="190">
        <f t="shared" si="827"/>
        <v>0</v>
      </c>
      <c r="ET324" s="190">
        <f t="shared" si="832"/>
        <v>0</v>
      </c>
      <c r="EU324" s="190">
        <f t="shared" ref="EU324:EU330" si="837">EU157*EU$168</f>
        <v>0</v>
      </c>
      <c r="EV324" s="189">
        <f>$C324+SUM($D324:EU324,EW324:$FB324)-SUM(EV$176:EV323,EV325:EV$330)-EV$331</f>
        <v>2.4067349364478368E-37</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1201.4714869139582</v>
      </c>
      <c r="ET325" s="190">
        <f t="shared" si="832"/>
        <v>0</v>
      </c>
      <c r="EU325" s="190">
        <f t="shared" si="837"/>
        <v>0</v>
      </c>
      <c r="EV325" s="190">
        <f t="shared" ref="EV325:EV330" si="842">EV158*EV$168</f>
        <v>1.0437423551471092E-20</v>
      </c>
      <c r="EW325" s="189">
        <f>$C325+SUM($D325:EV325,EX325:$FB325)-SUM(EW$176:EW324,EW326:EW$330)-EW$331</f>
        <v>4.0992209626722342E-13</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111.67282437424393</v>
      </c>
      <c r="EU326" s="190">
        <f t="shared" si="837"/>
        <v>0</v>
      </c>
      <c r="EV326" s="190">
        <f t="shared" si="842"/>
        <v>1.249560114573312E-20</v>
      </c>
      <c r="EW326" s="190">
        <f>EW159*EW$168</f>
        <v>0</v>
      </c>
      <c r="EX326" s="189">
        <f>$C326+SUM($D326:EW326,EY326:$FB326)-SUM(EX$176:EX325,EX327:EX$330)-EX$331</f>
        <v>7.6102318891102527E-15</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5.2464940148036032E-12</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-8.788794008375919E-25</v>
      </c>
      <c r="EZ327" s="190">
        <f>EZ160*EZ$168</f>
        <v>4.4442486661052793E-18</v>
      </c>
      <c r="FA327" s="190">
        <f>FA160*FA$168</f>
        <v>5.314647410609266E-8</v>
      </c>
      <c r="FB327" s="191">
        <f>FB160*FB$168</f>
        <v>7.7742926695982319E-9</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4.3476832105672611E-6</v>
      </c>
      <c r="EH328" s="190">
        <f t="shared" si="769"/>
        <v>0</v>
      </c>
      <c r="EI328" s="190">
        <f t="shared" si="775"/>
        <v>0</v>
      </c>
      <c r="EJ328" s="190">
        <f t="shared" si="781"/>
        <v>1.5893777376062096E-6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-1.6973283329117817E-21</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7.7040737751103108E-2</v>
      </c>
      <c r="EI329" s="190">
        <f t="shared" si="775"/>
        <v>0</v>
      </c>
      <c r="EJ329" s="190">
        <f t="shared" si="781"/>
        <v>0</v>
      </c>
      <c r="EK329" s="190">
        <f t="shared" si="787"/>
        <v>6.3103066056285378E-2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4.6313345259544035E-6</v>
      </c>
      <c r="FA329" s="189">
        <f>$C329+SUM($D329:EZ329,FB329:$FB329)-SUM(FA$176:FA328,FA330:FA$330)-FA$331</f>
        <v>1.6696713456276768E-17</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4.2024426714128223E-9</v>
      </c>
      <c r="EJ330" s="190">
        <f t="shared" si="781"/>
        <v>0</v>
      </c>
      <c r="EK330" s="190">
        <f t="shared" si="787"/>
        <v>0</v>
      </c>
      <c r="EL330" s="190">
        <f t="shared" si="792"/>
        <v>5.7745368614536081E-7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1.3057147026364163E-6</v>
      </c>
      <c r="FA330" s="190">
        <f>FA163*FA$168</f>
        <v>0</v>
      </c>
      <c r="FB330" s="404">
        <f>$C330+SUM($D330:FA330)-SUM(FB$176:FB329)-FB$331</f>
        <v>2.1175823681357508E-22</v>
      </c>
    </row>
    <row r="331" spans="2:158" ht="12.75" customHeight="1" x14ac:dyDescent="0.3">
      <c r="B331" s="186" t="s">
        <v>4117</v>
      </c>
      <c r="C331" s="203"/>
      <c r="D331" s="684">
        <f t="shared" ref="D331:J331" si="858">D338</f>
        <v>9.6439851630183406E-21</v>
      </c>
      <c r="E331" s="684">
        <f>E338</f>
        <v>3.704829954031203E-5</v>
      </c>
      <c r="F331" s="684">
        <f t="shared" si="858"/>
        <v>2.2494951442740891E-4</v>
      </c>
      <c r="G331" s="684">
        <f t="shared" si="858"/>
        <v>7.1376427792281112E-8</v>
      </c>
      <c r="H331" s="684">
        <f t="shared" si="858"/>
        <v>0</v>
      </c>
      <c r="I331" s="684">
        <f t="shared" si="858"/>
        <v>0</v>
      </c>
      <c r="J331" s="684">
        <f t="shared" si="858"/>
        <v>0</v>
      </c>
      <c r="K331" s="684">
        <f>K338</f>
        <v>1.9542386674976269E-15</v>
      </c>
      <c r="L331" s="204">
        <f t="shared" ref="L331:BN331" si="859">L338</f>
        <v>0</v>
      </c>
      <c r="M331" s="204">
        <f t="shared" si="859"/>
        <v>0</v>
      </c>
      <c r="N331" s="204">
        <f t="shared" si="859"/>
        <v>0</v>
      </c>
      <c r="O331" s="204">
        <f t="shared" si="859"/>
        <v>7.7845333884321826E-16</v>
      </c>
      <c r="P331" s="204">
        <f t="shared" si="859"/>
        <v>0</v>
      </c>
      <c r="Q331" s="204">
        <f t="shared" si="859"/>
        <v>0</v>
      </c>
      <c r="R331" s="204">
        <f t="shared" si="859"/>
        <v>0</v>
      </c>
      <c r="S331" s="204">
        <f t="shared" si="859"/>
        <v>1.1510259077993613E-13</v>
      </c>
      <c r="T331" s="204">
        <f t="shared" si="859"/>
        <v>0</v>
      </c>
      <c r="U331" s="204">
        <f t="shared" si="859"/>
        <v>0</v>
      </c>
      <c r="V331" s="204">
        <f t="shared" si="859"/>
        <v>0</v>
      </c>
      <c r="W331" s="204">
        <f t="shared" si="859"/>
        <v>4.5570939392116231E-5</v>
      </c>
      <c r="X331" s="204">
        <f t="shared" si="859"/>
        <v>5.8606417048943074E-16</v>
      </c>
      <c r="Y331" s="204">
        <f t="shared" si="859"/>
        <v>8.2199779431961259E-2</v>
      </c>
      <c r="Z331" s="204">
        <f t="shared" si="859"/>
        <v>0.13091496497621277</v>
      </c>
      <c r="AA331" s="204">
        <f t="shared" si="859"/>
        <v>2.2583536909187457E-4</v>
      </c>
      <c r="AB331" s="204">
        <f t="shared" si="859"/>
        <v>6.5514525378651396E-11</v>
      </c>
      <c r="AC331" s="204">
        <f t="shared" si="859"/>
        <v>0.255009365666861</v>
      </c>
      <c r="AD331" s="204">
        <f t="shared" si="859"/>
        <v>1.9549689017602312</v>
      </c>
      <c r="AE331" s="204">
        <f t="shared" si="859"/>
        <v>2.7822543217923905E-3</v>
      </c>
      <c r="AF331" s="204">
        <f t="shared" si="859"/>
        <v>3.9613474456926673E-18</v>
      </c>
      <c r="AG331" s="204">
        <f t="shared" si="859"/>
        <v>4.8961719142143912E-3</v>
      </c>
      <c r="AH331" s="204">
        <f t="shared" si="859"/>
        <v>2.4605632577884291E-2</v>
      </c>
      <c r="AI331" s="204">
        <f t="shared" si="859"/>
        <v>8.2437509340725224E-7</v>
      </c>
      <c r="AJ331" s="204">
        <f t="shared" si="859"/>
        <v>8.6949733429397794E-10</v>
      </c>
      <c r="AK331" s="204">
        <f t="shared" si="859"/>
        <v>1.1054268534436398E-3</v>
      </c>
      <c r="AL331" s="204">
        <f t="shared" si="859"/>
        <v>0</v>
      </c>
      <c r="AM331" s="204">
        <f t="shared" si="859"/>
        <v>9.3406774679571054E-5</v>
      </c>
      <c r="AN331" s="204">
        <f t="shared" si="859"/>
        <v>2.3462102551102672E-8</v>
      </c>
      <c r="AO331" s="204">
        <f t="shared" si="859"/>
        <v>3.7289017511378045E-2</v>
      </c>
      <c r="AP331" s="204">
        <f t="shared" si="859"/>
        <v>0</v>
      </c>
      <c r="AQ331" s="204">
        <f t="shared" si="859"/>
        <v>3.0532410866935266E-7</v>
      </c>
      <c r="AR331" s="204">
        <f t="shared" si="859"/>
        <v>3.2203604973851036E-10</v>
      </c>
      <c r="AS331" s="204">
        <f t="shared" si="859"/>
        <v>4.0941735312727403E-4</v>
      </c>
      <c r="AT331" s="204">
        <f t="shared" si="859"/>
        <v>0</v>
      </c>
      <c r="AU331" s="204">
        <f t="shared" si="859"/>
        <v>5.2257355653544765E-19</v>
      </c>
      <c r="AV331" s="204">
        <f t="shared" si="859"/>
        <v>5.9112249101371128E-6</v>
      </c>
      <c r="AW331" s="204">
        <f t="shared" si="859"/>
        <v>9.7029688172868751E-4</v>
      </c>
      <c r="AX331" s="204">
        <f t="shared" si="859"/>
        <v>2.1295128147986073E-8</v>
      </c>
      <c r="AY331" s="204">
        <f t="shared" si="859"/>
        <v>0</v>
      </c>
      <c r="AZ331" s="204">
        <f t="shared" si="859"/>
        <v>0</v>
      </c>
      <c r="BA331" s="204">
        <f t="shared" si="859"/>
        <v>0</v>
      </c>
      <c r="BB331" s="204">
        <f t="shared" si="859"/>
        <v>1.2149249377945649E-17</v>
      </c>
      <c r="BC331" s="204">
        <f t="shared" si="859"/>
        <v>0</v>
      </c>
      <c r="BD331" s="204">
        <f t="shared" si="859"/>
        <v>0</v>
      </c>
      <c r="BE331" s="204">
        <f t="shared" si="859"/>
        <v>0</v>
      </c>
      <c r="BF331" s="204">
        <f t="shared" si="859"/>
        <v>3.8474281876395799E-18</v>
      </c>
      <c r="BG331" s="204">
        <f t="shared" si="859"/>
        <v>0</v>
      </c>
      <c r="BH331" s="204">
        <f t="shared" si="859"/>
        <v>0</v>
      </c>
      <c r="BI331" s="204">
        <f t="shared" si="859"/>
        <v>0</v>
      </c>
      <c r="BJ331" s="204">
        <f t="shared" si="859"/>
        <v>9.4955605147547862E-9</v>
      </c>
      <c r="BK331" s="204">
        <f t="shared" si="859"/>
        <v>0</v>
      </c>
      <c r="BL331" s="204">
        <f t="shared" si="859"/>
        <v>0</v>
      </c>
      <c r="BM331" s="204">
        <f t="shared" si="859"/>
        <v>0</v>
      </c>
      <c r="BN331" s="204">
        <f t="shared" si="859"/>
        <v>5.7817088648988053E-7</v>
      </c>
      <c r="BO331" s="204">
        <f t="shared" ref="BO331:DX331" si="860">BO338</f>
        <v>4.5135734547339714E-17</v>
      </c>
      <c r="BP331" s="204">
        <f t="shared" si="860"/>
        <v>9.0196922767731627E-3</v>
      </c>
      <c r="BQ331" s="204">
        <f t="shared" si="860"/>
        <v>7.7055536019090566E-4</v>
      </c>
      <c r="BR331" s="204">
        <f t="shared" si="860"/>
        <v>1.1245870596638999E-6</v>
      </c>
      <c r="BS331" s="204">
        <f t="shared" si="860"/>
        <v>1.4864969008438648E-14</v>
      </c>
      <c r="BT331" s="204">
        <f t="shared" si="860"/>
        <v>1.3518308413965032E-2</v>
      </c>
      <c r="BU331" s="204">
        <f t="shared" si="860"/>
        <v>8.0846624000887775E-3</v>
      </c>
      <c r="BV331" s="204">
        <f t="shared" si="860"/>
        <v>11.464004520501453</v>
      </c>
      <c r="BW331" s="204">
        <f t="shared" si="860"/>
        <v>9.192364180366794E-19</v>
      </c>
      <c r="BX331" s="204">
        <f t="shared" si="860"/>
        <v>4.3281976466007528</v>
      </c>
      <c r="BY331" s="204">
        <f t="shared" si="860"/>
        <v>0.1016693210463351</v>
      </c>
      <c r="BZ331" s="204">
        <f t="shared" si="860"/>
        <v>7.1940547614953748E-8</v>
      </c>
      <c r="CA331" s="204">
        <f t="shared" si="860"/>
        <v>6.7467335563168698E-11</v>
      </c>
      <c r="CB331" s="204">
        <f t="shared" si="860"/>
        <v>1.0887018667957819E-3</v>
      </c>
      <c r="CC331" s="204">
        <f t="shared" si="860"/>
        <v>0</v>
      </c>
      <c r="CD331" s="204">
        <f t="shared" si="860"/>
        <v>3.4961031495477077E-7</v>
      </c>
      <c r="CE331" s="204">
        <f t="shared" si="860"/>
        <v>6.822514496417216E-11</v>
      </c>
      <c r="CF331" s="204">
        <f t="shared" si="860"/>
        <v>2.4194815802785533E-3</v>
      </c>
      <c r="CG331" s="204">
        <f t="shared" si="860"/>
        <v>0</v>
      </c>
      <c r="CH331" s="204">
        <f t="shared" si="860"/>
        <v>2.6644647264797671E-8</v>
      </c>
      <c r="CI331" s="204">
        <f t="shared" si="860"/>
        <v>2.4987902060432849E-11</v>
      </c>
      <c r="CJ331" s="204">
        <f t="shared" si="860"/>
        <v>4.032229136280672E-4</v>
      </c>
      <c r="CK331" s="204">
        <f t="shared" si="860"/>
        <v>0</v>
      </c>
      <c r="CL331" s="204">
        <f t="shared" si="860"/>
        <v>3.5462250167812522E-17</v>
      </c>
      <c r="CM331" s="204">
        <f t="shared" si="860"/>
        <v>1.3972633393452844E-7</v>
      </c>
      <c r="CN331" s="204">
        <f t="shared" si="860"/>
        <v>7.8192783120007749E-4</v>
      </c>
      <c r="CO331" s="204">
        <f t="shared" si="860"/>
        <v>6.8460912243835989E-10</v>
      </c>
      <c r="CP331" s="204">
        <f t="shared" si="860"/>
        <v>0</v>
      </c>
      <c r="CQ331" s="204">
        <f t="shared" si="860"/>
        <v>0</v>
      </c>
      <c r="CR331" s="204">
        <f t="shared" si="860"/>
        <v>0</v>
      </c>
      <c r="CS331" s="204">
        <f t="shared" si="860"/>
        <v>4.9596961315956149E-8</v>
      </c>
      <c r="CT331" s="204">
        <f t="shared" si="860"/>
        <v>0</v>
      </c>
      <c r="CU331" s="204">
        <f t="shared" si="860"/>
        <v>0</v>
      </c>
      <c r="CV331" s="204">
        <f t="shared" si="860"/>
        <v>0</v>
      </c>
      <c r="CW331" s="204">
        <f t="shared" si="860"/>
        <v>1.4879107135400917E-6</v>
      </c>
      <c r="CX331" s="204">
        <f t="shared" si="860"/>
        <v>0</v>
      </c>
      <c r="CY331" s="204">
        <f t="shared" si="860"/>
        <v>0</v>
      </c>
      <c r="CZ331" s="204">
        <f t="shared" si="860"/>
        <v>0</v>
      </c>
      <c r="DA331" s="204">
        <f t="shared" si="860"/>
        <v>0.39125627216318376</v>
      </c>
      <c r="DB331" s="204">
        <f t="shared" si="860"/>
        <v>3.7888769556661778E-28</v>
      </c>
      <c r="DC331" s="204">
        <f t="shared" si="860"/>
        <v>0.14770580501581063</v>
      </c>
      <c r="DD331" s="204">
        <f t="shared" si="860"/>
        <v>6.2760975382188215E-3</v>
      </c>
      <c r="DE331" s="204">
        <f t="shared" si="860"/>
        <v>9.1955046946041149E-9</v>
      </c>
      <c r="DF331" s="204">
        <f t="shared" si="860"/>
        <v>6.0993054912236533E-12</v>
      </c>
      <c r="DG331" s="204">
        <f t="shared" si="860"/>
        <v>3.2138362342465847E-3</v>
      </c>
      <c r="DH331" s="204">
        <f t="shared" si="860"/>
        <v>0</v>
      </c>
      <c r="DI331" s="204">
        <f t="shared" si="860"/>
        <v>1.5444639991164642E-18</v>
      </c>
      <c r="DJ331" s="204">
        <f t="shared" si="860"/>
        <v>9.4498211027454008E-10</v>
      </c>
      <c r="DK331" s="204">
        <f t="shared" si="860"/>
        <v>1.8756993951386092E-4</v>
      </c>
      <c r="DL331" s="204">
        <f t="shared" si="860"/>
        <v>1.431278926623148E-11</v>
      </c>
      <c r="DM331" s="204">
        <f t="shared" si="860"/>
        <v>0</v>
      </c>
      <c r="DN331" s="204">
        <f t="shared" si="860"/>
        <v>0</v>
      </c>
      <c r="DO331" s="204">
        <f t="shared" si="860"/>
        <v>0</v>
      </c>
      <c r="DP331" s="204">
        <f t="shared" si="860"/>
        <v>8.6471400268468412E-9</v>
      </c>
      <c r="DQ331" s="204">
        <f t="shared" si="860"/>
        <v>0</v>
      </c>
      <c r="DR331" s="204">
        <f t="shared" si="860"/>
        <v>0</v>
      </c>
      <c r="DS331" s="204">
        <f t="shared" si="860"/>
        <v>0</v>
      </c>
      <c r="DT331" s="204">
        <f t="shared" si="860"/>
        <v>2.1290301397872635E-7</v>
      </c>
      <c r="DU331" s="204">
        <f t="shared" si="860"/>
        <v>0</v>
      </c>
      <c r="DV331" s="204">
        <f t="shared" si="860"/>
        <v>0</v>
      </c>
      <c r="DW331" s="204">
        <f t="shared" si="860"/>
        <v>0</v>
      </c>
      <c r="DX331" s="204">
        <f t="shared" si="860"/>
        <v>0.18224058814080102</v>
      </c>
      <c r="DY331" s="204">
        <f t="shared" ref="DY331:FB331" si="861">DY338</f>
        <v>2.7320032633863631E-30</v>
      </c>
      <c r="DZ331" s="204">
        <f t="shared" si="861"/>
        <v>6.8679817701400636E-2</v>
      </c>
      <c r="EA331" s="204">
        <f t="shared" si="861"/>
        <v>1.4446649658999826E-3</v>
      </c>
      <c r="EB331" s="204">
        <f t="shared" si="861"/>
        <v>1.0187684173996299E-9</v>
      </c>
      <c r="EC331" s="204">
        <f t="shared" si="861"/>
        <v>1.1318227263110949E-14</v>
      </c>
      <c r="ED331" s="204">
        <f t="shared" si="861"/>
        <v>5.0543682339042675E-4</v>
      </c>
      <c r="EE331" s="204">
        <f t="shared" si="861"/>
        <v>0</v>
      </c>
      <c r="EF331" s="204">
        <f t="shared" si="861"/>
        <v>7.9224414369172554E-16</v>
      </c>
      <c r="EG331" s="204">
        <f t="shared" si="861"/>
        <v>1.5524417355654098E-9</v>
      </c>
      <c r="EH331" s="204">
        <f t="shared" si="861"/>
        <v>3.3181196529430862E-4</v>
      </c>
      <c r="EI331" s="204">
        <f t="shared" si="861"/>
        <v>5.131543518661593E-12</v>
      </c>
      <c r="EJ331" s="204">
        <f t="shared" si="861"/>
        <v>0</v>
      </c>
      <c r="EK331" s="204">
        <f t="shared" si="861"/>
        <v>0</v>
      </c>
      <c r="EL331" s="204">
        <f t="shared" si="861"/>
        <v>0</v>
      </c>
      <c r="EM331" s="204">
        <f t="shared" si="861"/>
        <v>2.8102100179254871E-7</v>
      </c>
      <c r="EN331" s="204">
        <f t="shared" si="861"/>
        <v>0</v>
      </c>
      <c r="EO331" s="204">
        <f t="shared" si="861"/>
        <v>0</v>
      </c>
      <c r="EP331" s="204">
        <f t="shared" si="861"/>
        <v>0</v>
      </c>
      <c r="EQ331" s="204">
        <f t="shared" si="861"/>
        <v>9.0541489282470624E-6</v>
      </c>
      <c r="ER331" s="204">
        <f t="shared" si="861"/>
        <v>0</v>
      </c>
      <c r="ES331" s="204">
        <f t="shared" si="861"/>
        <v>0</v>
      </c>
      <c r="ET331" s="204">
        <f t="shared" si="861"/>
        <v>0</v>
      </c>
      <c r="EU331" s="204">
        <f t="shared" si="861"/>
        <v>0.68502429897176065</v>
      </c>
      <c r="EV331" s="204">
        <f t="shared" si="861"/>
        <v>2.1342641661822933E-30</v>
      </c>
      <c r="EW331" s="204">
        <f t="shared" si="861"/>
        <v>0.15546045152068408</v>
      </c>
      <c r="EX331" s="204">
        <f t="shared" si="861"/>
        <v>1.4449537828319087E-2</v>
      </c>
      <c r="EY331" s="204">
        <f t="shared" si="861"/>
        <v>4.066427165321668E-10</v>
      </c>
      <c r="EZ331" s="204">
        <f t="shared" si="861"/>
        <v>7.8431730650081861E-14</v>
      </c>
      <c r="FA331" s="204">
        <f t="shared" si="861"/>
        <v>9.3792455266540338E-4</v>
      </c>
      <c r="FB331" s="205">
        <f t="shared" si="861"/>
        <v>0</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20.083470760507055</v>
      </c>
      <c r="D335" s="176">
        <f t="shared" ref="D335:AI335" si="862">D5</f>
        <v>0</v>
      </c>
      <c r="E335" s="176">
        <f t="shared" si="862"/>
        <v>6.6944902535023516</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6.6944902535023516</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6.6944902535023516</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28356787.694150224</v>
      </c>
      <c r="D336" s="185">
        <f>SUM($D$176:$FB$176)</f>
        <v>4.2875782519090926E-16</v>
      </c>
      <c r="E336" s="185">
        <f>SUM($D$177:$FB$177)</f>
        <v>4.8472480282483622E-3</v>
      </c>
      <c r="F336" s="185">
        <f>SUM($D$178:$FB$178)</f>
        <v>6.080454405610948</v>
      </c>
      <c r="G336" s="185">
        <f>SUM($D$179:$FB$179)</f>
        <v>1.6446793091735159E-2</v>
      </c>
      <c r="H336" s="185">
        <f>SUM($D$180:$FB$180)</f>
        <v>9.8091990748015431E-2</v>
      </c>
      <c r="I336" s="185">
        <f>SUM($D$181:$FB$181)</f>
        <v>0.10736449675213564</v>
      </c>
      <c r="J336" s="185">
        <f>SUM($D$182:$FB$182)</f>
        <v>1.441641857772104E-2</v>
      </c>
      <c r="K336" s="185">
        <f>SUM($D$183:$FB$183)</f>
        <v>1.1920595341516473E-3</v>
      </c>
      <c r="L336" s="185">
        <f>SUM($D$184:$FB$184)</f>
        <v>1.798273357989237E-3</v>
      </c>
      <c r="M336" s="185">
        <f>SUM($D$185:$FB$185)</f>
        <v>0.48393184251082677</v>
      </c>
      <c r="N336" s="185">
        <f>SUM($D$186:$FB$186)</f>
        <v>0.13198666328879535</v>
      </c>
      <c r="O336" s="185">
        <f>SUM($D$187:$FB$187)</f>
        <v>1.8937658462762647E-2</v>
      </c>
      <c r="P336" s="185">
        <f>SUM($D$188:$FB$188)</f>
        <v>1.9781080092746484E-2</v>
      </c>
      <c r="Q336" s="185">
        <f>SUM($D$189:$FB$189)</f>
        <v>14.098122290091428</v>
      </c>
      <c r="R336" s="185">
        <f>SUM($D$190:$FB$190)</f>
        <v>20.005294485576467</v>
      </c>
      <c r="S336" s="185">
        <f>SUM($D$191:$FB$191)</f>
        <v>38.989763990754035</v>
      </c>
      <c r="T336" s="185">
        <f>SUM($D$192:$FB$192)</f>
        <v>9.7768766630548509E-3</v>
      </c>
      <c r="U336" s="185">
        <f>SUM($D$193:$FB$193)</f>
        <v>14.71285381913613</v>
      </c>
      <c r="V336" s="185">
        <f>SUM($D$194:$FB$194)</f>
        <v>0.38672281293218225</v>
      </c>
      <c r="W336" s="185">
        <f>SUM($D$195:$FB$195)</f>
        <v>4.5570939392116225E-5</v>
      </c>
      <c r="X336" s="185">
        <f>SUM($D$196:$FB$196)</f>
        <v>5.3204907012533612E-11</v>
      </c>
      <c r="Y336" s="185">
        <f>SUM($D$197:$FB$197)</f>
        <v>8.2202618441446496E-2</v>
      </c>
      <c r="Z336" s="185">
        <f>SUM($D$198:$FB$198)</f>
        <v>0.13091948650692611</v>
      </c>
      <c r="AA336" s="185">
        <f>SUM($D$199:$FB$199)</f>
        <v>5.0657541566517606E-3</v>
      </c>
      <c r="AB336" s="185">
        <f>SUM($D$200:$FB$200)</f>
        <v>5.9482323345162063E-6</v>
      </c>
      <c r="AC336" s="185">
        <f>SUM($D$201:$FB$201)</f>
        <v>2.5903295094898326</v>
      </c>
      <c r="AD336" s="185">
        <f>SUM($D$202:$FB$202)</f>
        <v>19.858147653212015</v>
      </c>
      <c r="AE336" s="185">
        <f>SUM($D$203:$FB$203)</f>
        <v>0.13797133133286213</v>
      </c>
      <c r="AF336" s="185">
        <f>SUM($D$204:$FB$204)</f>
        <v>5.6942075950541781E-11</v>
      </c>
      <c r="AG336" s="185">
        <f>SUM($D$205:$FB$205)</f>
        <v>5.2499544852946077E-2</v>
      </c>
      <c r="AH336" s="185">
        <f>SUM($D$206:$FB$206)</f>
        <v>0.26383561153306012</v>
      </c>
      <c r="AI336" s="185">
        <f>SUM($D$207:$FB$207)</f>
        <v>1.238059006291841E-4</v>
      </c>
      <c r="AJ336" s="185">
        <f>SUM($D$208:$FB$208)</f>
        <v>0.11729261138030848</v>
      </c>
      <c r="AK336" s="185">
        <f>SUM($D$209:$FB$209)</f>
        <v>0.16518756695568751</v>
      </c>
      <c r="AL336" s="185">
        <f>SUM($D$210:$FB$210)</f>
        <v>3.0028209959425733E-2</v>
      </c>
      <c r="AM336" s="185">
        <f>SUM($D$211:$FB$211)</f>
        <v>1.4027970950091652E-2</v>
      </c>
      <c r="AN336" s="185">
        <f>SUM($D$212:$FB$212)</f>
        <v>0.26065024751179744</v>
      </c>
      <c r="AO336" s="185">
        <f>SUM($D$213:$FB$213)</f>
        <v>5.5718886903684943</v>
      </c>
      <c r="AP336" s="185">
        <f>SUM($D$214:$FB$214)</f>
        <v>1.5564111836500705</v>
      </c>
      <c r="AQ336" s="185">
        <f>SUM($D$215:$FB$215)</f>
        <v>4.5854037270068208E-5</v>
      </c>
      <c r="AR336" s="185">
        <f>SUM($D$216:$FB$216)</f>
        <v>4.3441707918632777E-2</v>
      </c>
      <c r="AS336" s="185">
        <f>SUM($D$217:$FB$217)</f>
        <v>6.118058035395834E-2</v>
      </c>
      <c r="AT336" s="185">
        <f>SUM($D$218:$FB$218)</f>
        <v>1.1121559244231752E-2</v>
      </c>
      <c r="AU336" s="185">
        <f>SUM($D$219:$FB$219)</f>
        <v>1.3522991431091856E-14</v>
      </c>
      <c r="AV336" s="185">
        <f>SUM($D$220:$FB$220)</f>
        <v>0.95275328858953123</v>
      </c>
      <c r="AW336" s="185">
        <f>SUM($D$221:$FB$221)</f>
        <v>6.9015686411105328</v>
      </c>
      <c r="AX336" s="185">
        <f>SUM($D$222:$FB$222)</f>
        <v>4.4570732367723454E-3</v>
      </c>
      <c r="AY336" s="185">
        <f>SUM($D$223:$FB$223)</f>
        <v>1.5651023836159694E-2</v>
      </c>
      <c r="AZ336" s="185">
        <f>SUM($D$224:$FB$224)</f>
        <v>0.46310585142687333</v>
      </c>
      <c r="BA336" s="185">
        <f>SUM($D$225:$FB$225)</f>
        <v>4.3011326083872295E-3</v>
      </c>
      <c r="BB336" s="185">
        <f>SUM($D$226:$FB$226)</f>
        <v>7.4108801522747788E-6</v>
      </c>
      <c r="BC336" s="185">
        <f>SUM($D$227:$FB$227)</f>
        <v>1.3951263830677747E-4</v>
      </c>
      <c r="BD336" s="185">
        <f>SUM($D$228:$FB$228)</f>
        <v>5.3101327542212404E-2</v>
      </c>
      <c r="BE336" s="185">
        <f>SUM($D$229:$FB$229)</f>
        <v>7.7686348881071091E-4</v>
      </c>
      <c r="BF336" s="185">
        <f>SUM($D$230:$FB$230)</f>
        <v>9.3597493056932825E-5</v>
      </c>
      <c r="BG336" s="185">
        <f>SUM($D$231:$FB$231)</f>
        <v>1.5346446504254337E-3</v>
      </c>
      <c r="BH336" s="185">
        <f>SUM($D$232:$FB$232)</f>
        <v>0.75285350073609281</v>
      </c>
      <c r="BI336" s="185">
        <f>SUM($D$233:$FB$233)</f>
        <v>8.3339249520535424E-2</v>
      </c>
      <c r="BJ336" s="185">
        <f>SUM($D$234:$FB$234)</f>
        <v>74758.229755260938</v>
      </c>
      <c r="BK336" s="185">
        <f>SUM($D$235:$FB$235)</f>
        <v>4.5402318884673824E-2</v>
      </c>
      <c r="BL336" s="185">
        <f>SUM($D$236:$FB$236)</f>
        <v>6052.3310048273488</v>
      </c>
      <c r="BM336" s="185">
        <f>SUM($D$237:$FB$237)</f>
        <v>1.3266137052603288</v>
      </c>
      <c r="BN336" s="185">
        <f>SUM($D$238:$FB$238)</f>
        <v>5.7817088648988043E-7</v>
      </c>
      <c r="BO336" s="185">
        <f>SUM($D$239:$FB$239)</f>
        <v>4.1277133508140139E-12</v>
      </c>
      <c r="BP336" s="185">
        <f>SUM($D$240:$FB$240)</f>
        <v>9.0200060894225689E-3</v>
      </c>
      <c r="BQ336" s="185">
        <f>SUM($D$241:$FB$241)</f>
        <v>7.7058216931162452E-4</v>
      </c>
      <c r="BR336" s="185">
        <f>SUM($D$242:$FB$242)</f>
        <v>2.5411351567324096E-5</v>
      </c>
      <c r="BS336" s="185">
        <f>SUM($D$243:$FB$243)</f>
        <v>1.3595552634250112E-9</v>
      </c>
      <c r="BT336" s="185">
        <f>SUM($D$244:$FB$244)</f>
        <v>0.13832598317961167</v>
      </c>
      <c r="BU336" s="185">
        <f>SUM($D$245:$FB$245)</f>
        <v>8.2726243618783252E-2</v>
      </c>
      <c r="BV336" s="185">
        <f>SUM($D$246:$FB$246)</f>
        <v>569.09475017009561</v>
      </c>
      <c r="BW336" s="185">
        <f>SUM($D$247:$FB$247)</f>
        <v>1.3227378586252894E-11</v>
      </c>
      <c r="BX336" s="185">
        <f>SUM($D$248:$FB$248)</f>
        <v>46.458177175330142</v>
      </c>
      <c r="BY336" s="185">
        <f>SUM($D$249:$FB$249)</f>
        <v>1.0913021345445639</v>
      </c>
      <c r="BZ336" s="185">
        <f>SUM($D$250:$FB$250)</f>
        <v>1.0804140445841967E-5</v>
      </c>
      <c r="CA336" s="185">
        <f>SUM($D$251:$FB$251)</f>
        <v>9.101143452614752E-3</v>
      </c>
      <c r="CB336" s="185">
        <f>SUM($D$252:$FB$252)</f>
        <v>0.1626882972454218</v>
      </c>
      <c r="CC336" s="185">
        <f>SUM($D$253:$FB$253)</f>
        <v>2.5951156356743329E-3</v>
      </c>
      <c r="CD336" s="185">
        <f>SUM($D$254:$FB$254)</f>
        <v>5.2505006824847998E-5</v>
      </c>
      <c r="CE336" s="185">
        <f>SUM($D$255:$FB$255)</f>
        <v>2.0224763228032787E-2</v>
      </c>
      <c r="CF336" s="185">
        <f>SUM($D$256:$FB$256)</f>
        <v>0.3615295589269808</v>
      </c>
      <c r="CG336" s="185">
        <f>SUM($D$257:$FB$257)</f>
        <v>5.7669263517669172E-3</v>
      </c>
      <c r="CH336" s="185">
        <f>SUM($D$258:$FB$258)</f>
        <v>4.0015334984599905E-6</v>
      </c>
      <c r="CI336" s="185">
        <f>SUM($D$259:$FB$259)</f>
        <v>3.3707938713387962E-3</v>
      </c>
      <c r="CJ336" s="185">
        <f>SUM($D$260:$FB$260)</f>
        <v>6.0254924905711736E-2</v>
      </c>
      <c r="CK336" s="185">
        <f>SUM($D$261:$FB$261)</f>
        <v>9.611539391386416E-4</v>
      </c>
      <c r="CL336" s="185">
        <f>SUM($D$262:$FB$262)</f>
        <v>8.7835293439864348E-13</v>
      </c>
      <c r="CM336" s="185">
        <f>SUM($D$263:$FB$263)</f>
        <v>2.230069797081069E-2</v>
      </c>
      <c r="CN336" s="185">
        <f>SUM($D$264:$FB$264)</f>
        <v>4.3964672264217288</v>
      </c>
      <c r="CO336" s="185">
        <f>SUM($D$265:$FB$265)</f>
        <v>1.4232145521850617E-4</v>
      </c>
      <c r="CP336" s="185">
        <f>SUM($D$266:$FB$266)</f>
        <v>3.6995042756676121E-4</v>
      </c>
      <c r="CQ336" s="185">
        <f>SUM($D$267:$FB$267)</f>
        <v>0.37320057483554248</v>
      </c>
      <c r="CR336" s="185">
        <f>SUM($D$268:$FB$268)</f>
        <v>1.382755060244834E-4</v>
      </c>
      <c r="CS336" s="185">
        <f>SUM($D$269:$FB$269)</f>
        <v>3591193.9162128535</v>
      </c>
      <c r="CT336" s="185">
        <f>SUM($D$270:$FB$270)</f>
        <v>1.0406485340640574E-3</v>
      </c>
      <c r="CU336" s="185">
        <f>SUM($D$271:$FB$271)</f>
        <v>290690.96393759514</v>
      </c>
      <c r="CV336" s="185">
        <f>SUM($D$272:$FB$272)</f>
        <v>20.39563319019824</v>
      </c>
      <c r="CW336" s="185">
        <f>SUM($D$273:$FB$273)</f>
        <v>3522981.5816177516</v>
      </c>
      <c r="CX336" s="185">
        <f>SUM($D$274:$FB$274)</f>
        <v>8.5919044652103459E-8</v>
      </c>
      <c r="CY336" s="185">
        <f>SUM($D$275:$FB$275)</f>
        <v>285181.29775426909</v>
      </c>
      <c r="CZ336" s="185">
        <f>SUM($D$276:$FB$276)</f>
        <v>40.796874570453838</v>
      </c>
      <c r="DA336" s="185">
        <f>SUM($D$277:$FB$277)</f>
        <v>5944.9689695923589</v>
      </c>
      <c r="DB336" s="185">
        <f>SUM($D$278:$FB$278)</f>
        <v>1.6687724185188719E-18</v>
      </c>
      <c r="DC336" s="185">
        <f>SUM($D$279:$FB$279)</f>
        <v>485.28033705169526</v>
      </c>
      <c r="DD336" s="185">
        <f>SUM($D$280:$FB$280)</f>
        <v>20.619817402505834</v>
      </c>
      <c r="DE336" s="185">
        <f>SUM($D$281:$FB$281)</f>
        <v>1.3809948281551721E-6</v>
      </c>
      <c r="DF336" s="185">
        <f>SUM($D$282:$FB$282)</f>
        <v>8.2277821961671362E-4</v>
      </c>
      <c r="DG336" s="185">
        <f>SUM($D$283:$FB$283)</f>
        <v>0.48025410860555828</v>
      </c>
      <c r="DH336" s="185">
        <f>SUM($D$284:$FB$284)</f>
        <v>2.5315960636370218E-4</v>
      </c>
      <c r="DI336" s="185">
        <f>SUM($D$285:$FB$285)</f>
        <v>3.6720449847724237E-14</v>
      </c>
      <c r="DJ336" s="185">
        <f>SUM($D$286:$FB$286)</f>
        <v>1.4468375729890807E-4</v>
      </c>
      <c r="DK336" s="185">
        <f>SUM($D$287:$FB$287)</f>
        <v>0.80980098047296667</v>
      </c>
      <c r="DL336" s="185">
        <f>SUM($D$288:$FB$288)</f>
        <v>1.0985856445940337E-6</v>
      </c>
      <c r="DM336" s="185">
        <f>SUM($D$289:$FB$289)</f>
        <v>1.6389059993401815E-6</v>
      </c>
      <c r="DN336" s="185">
        <f>SUM($D$290:$FB$290)</f>
        <v>5.5843194905958335E-2</v>
      </c>
      <c r="DO336" s="185">
        <f>SUM($D$291:$FB$291)</f>
        <v>1.0324495047840472E-6</v>
      </c>
      <c r="DP336" s="185">
        <f>SUM($D$292:$FB$292)</f>
        <v>2636112.2380019757</v>
      </c>
      <c r="DQ336" s="185">
        <f>SUM($D$293:$FB$293)</f>
        <v>7.8267288369376908E-6</v>
      </c>
      <c r="DR336" s="185">
        <f>SUM($D$294:$FB$294)</f>
        <v>213017.95326412673</v>
      </c>
      <c r="DS336" s="185">
        <f>SUM($D$295:$FB$295)</f>
        <v>7.4752583559392676</v>
      </c>
      <c r="DT336" s="185">
        <f>SUM($D$296:$FB$296)</f>
        <v>2640022.5972091351</v>
      </c>
      <c r="DU336" s="185">
        <f>SUM($D$297:$FB$297)</f>
        <v>7.5640944738186894E-10</v>
      </c>
      <c r="DV336" s="185">
        <f>SUM($D$298:$FB$298)</f>
        <v>213336.30379928809</v>
      </c>
      <c r="DW336" s="185">
        <f>SUM($D$299:$FB$299)</f>
        <v>14.173352086249206</v>
      </c>
      <c r="DX336" s="185">
        <f>SUM($D$300:$FB$300)</f>
        <v>3908.5935670721742</v>
      </c>
      <c r="DY336" s="185">
        <f>SUM($D$301:$FB$301)</f>
        <v>1.5910215866086488E-20</v>
      </c>
      <c r="DZ336" s="185">
        <f>SUM($D$302:$FB$302)</f>
        <v>318.50143191183122</v>
      </c>
      <c r="EA336" s="185">
        <f>SUM($D$303:$FB$303)</f>
        <v>6.6996080605877548</v>
      </c>
      <c r="EB336" s="185">
        <f>SUM($D$304:$FB$304)</f>
        <v>1.5440918309968277E-7</v>
      </c>
      <c r="EC336" s="185">
        <f>SUM($D$305:$FB$305)</f>
        <v>3.9691974680832665E-6</v>
      </c>
      <c r="ED336" s="185">
        <f>SUM($D$306:$FB$306)</f>
        <v>7.5547396320357355E-2</v>
      </c>
      <c r="EE336" s="185">
        <f>SUM($D$307:$FB$307)</f>
        <v>1.3306328231760615E-6</v>
      </c>
      <c r="EF336" s="185">
        <f>SUM($D$308:$FB$308)</f>
        <v>1.8353578544302124E-11</v>
      </c>
      <c r="EG336" s="185">
        <f>SUM($D$309:$FB$309)</f>
        <v>2.5059961867167314E-4</v>
      </c>
      <c r="EH336" s="185">
        <f>SUM($D$310:$FB$310)</f>
        <v>1.4026151432741472</v>
      </c>
      <c r="EI336" s="185">
        <f>SUM($D$311:$FB$311)</f>
        <v>1.9444582797989568E-6</v>
      </c>
      <c r="EJ336" s="185">
        <f>SUM($D$312:$FB$312)</f>
        <v>5.2979257920206965E-6</v>
      </c>
      <c r="EK336" s="185">
        <f>SUM($D$313:$FB$313)</f>
        <v>0.21034355352095119</v>
      </c>
      <c r="EL336" s="185">
        <f>SUM($D$314:$FB$314)</f>
        <v>1.9248456204845343E-6</v>
      </c>
      <c r="EM336" s="185">
        <f>SUM($D$315:$FB$315)</f>
        <v>6863288.0416218806</v>
      </c>
      <c r="EN336" s="185">
        <f>SUM($D$316:$FB$316)</f>
        <v>1.7127774843036928E-5</v>
      </c>
      <c r="EO336" s="185">
        <f>SUM($D$317:$FB$317)</f>
        <v>556572.83121542947</v>
      </c>
      <c r="EP336" s="185">
        <f>SUM($D$318:$FB$318)</f>
        <v>86.285844311603725</v>
      </c>
      <c r="EQ336" s="185">
        <f>SUM($D$319:$FB$319)</f>
        <v>6877979.8161813151</v>
      </c>
      <c r="ER336" s="185">
        <f>SUM($D$320:$FB$320)</f>
        <v>1.2341852222702314E-9</v>
      </c>
      <c r="ES336" s="185">
        <f>SUM($D$321:$FB$321)</f>
        <v>557780.6110611097</v>
      </c>
      <c r="ET336" s="185">
        <f>SUM($D$322:$FB$322)</f>
        <v>197.95980429082414</v>
      </c>
      <c r="EU336" s="185">
        <f>SUM($D$323:$FB$323)</f>
        <v>14692.015560413589</v>
      </c>
      <c r="EV336" s="185">
        <f>SUM($D$324:$FB$324)</f>
        <v>2.2933041191801495E-20</v>
      </c>
      <c r="EW336" s="185">
        <f>SUM($D$325:$FB$325)</f>
        <v>1201.4714869139586</v>
      </c>
      <c r="EX336" s="190">
        <f>SUM($D$326:$FB$326)</f>
        <v>111.67282437424394</v>
      </c>
      <c r="EY336" s="185">
        <f>SUM($D$327:$FB$327)</f>
        <v>6.0926013274149936E-8</v>
      </c>
      <c r="EZ336" s="185">
        <f>SUM($D$328:$FB$328)</f>
        <v>5.9370609481734686E-6</v>
      </c>
      <c r="FA336" s="185">
        <f>SUM($D$329:$FB$329)</f>
        <v>0.1401484351419145</v>
      </c>
      <c r="FB336" s="192">
        <f>SUM($D$330:$FB$330)</f>
        <v>1.88737083145319E-6</v>
      </c>
    </row>
    <row r="337" spans="2:158" ht="12.75" customHeight="1" x14ac:dyDescent="0.3">
      <c r="B337" s="188" t="s">
        <v>4120</v>
      </c>
      <c r="C337" s="176">
        <f>SUM(D337:EY337)</f>
        <v>28356787.695088148</v>
      </c>
      <c r="D337" s="176">
        <f t="shared" ref="D337:AI337" si="867">SUM(D176:D330)</f>
        <v>4.2874818120574623E-16</v>
      </c>
      <c r="E337" s="176">
        <f t="shared" si="867"/>
        <v>6.6993004532310581</v>
      </c>
      <c r="F337" s="176">
        <f t="shared" si="867"/>
        <v>6.0802294560965215</v>
      </c>
      <c r="G337" s="176">
        <f t="shared" si="867"/>
        <v>1.6446721715307366E-2</v>
      </c>
      <c r="H337" s="176">
        <f t="shared" si="867"/>
        <v>9.8091990748015431E-2</v>
      </c>
      <c r="I337" s="176">
        <f t="shared" si="867"/>
        <v>0.10736449675213561</v>
      </c>
      <c r="J337" s="176">
        <f t="shared" si="867"/>
        <v>1.4416418577721038E-2</v>
      </c>
      <c r="K337" s="176">
        <f t="shared" si="867"/>
        <v>1.1920595341496927E-3</v>
      </c>
      <c r="L337" s="176">
        <f t="shared" si="867"/>
        <v>1.7982733579892378E-3</v>
      </c>
      <c r="M337" s="176">
        <f t="shared" si="867"/>
        <v>0.48393184251082666</v>
      </c>
      <c r="N337" s="176">
        <f>SUM(N176:N330)</f>
        <v>0.13198666328879538</v>
      </c>
      <c r="O337" s="176">
        <f t="shared" si="867"/>
        <v>1.8937658462761874E-2</v>
      </c>
      <c r="P337" s="176">
        <f t="shared" si="867"/>
        <v>6.7142713335950983</v>
      </c>
      <c r="Q337" s="176">
        <f t="shared" si="867"/>
        <v>14.098122290091426</v>
      </c>
      <c r="R337" s="176">
        <f t="shared" si="867"/>
        <v>20.005294485576471</v>
      </c>
      <c r="S337" s="176">
        <f t="shared" si="867"/>
        <v>38.989763990753914</v>
      </c>
      <c r="T337" s="176">
        <f t="shared" si="867"/>
        <v>9.7768766630548544E-3</v>
      </c>
      <c r="U337" s="176">
        <f t="shared" si="867"/>
        <v>14.712853819136134</v>
      </c>
      <c r="V337" s="176">
        <f t="shared" si="867"/>
        <v>0.38672281293218236</v>
      </c>
      <c r="W337" s="176">
        <f t="shared" si="867"/>
        <v>0</v>
      </c>
      <c r="X337" s="176">
        <f t="shared" si="867"/>
        <v>5.3204320948363109E-11</v>
      </c>
      <c r="Y337" s="176">
        <f t="shared" si="867"/>
        <v>2.839009485260194E-6</v>
      </c>
      <c r="Z337" s="176">
        <f t="shared" si="867"/>
        <v>4.5215307133228184E-6</v>
      </c>
      <c r="AA337" s="176">
        <f t="shared" si="867"/>
        <v>4.8399187875598848E-3</v>
      </c>
      <c r="AB337" s="176">
        <f t="shared" si="867"/>
        <v>5.9481668199908287E-6</v>
      </c>
      <c r="AC337" s="176">
        <f t="shared" si="867"/>
        <v>2.3353201438229725</v>
      </c>
      <c r="AD337" s="176">
        <f t="shared" si="867"/>
        <v>17.903178751451783</v>
      </c>
      <c r="AE337" s="176">
        <f t="shared" si="867"/>
        <v>0.13518907701106972</v>
      </c>
      <c r="AF337" s="176">
        <f t="shared" si="867"/>
        <v>5.6942071989194339E-11</v>
      </c>
      <c r="AG337" s="176">
        <f t="shared" si="867"/>
        <v>4.7603372938731688E-2</v>
      </c>
      <c r="AH337" s="176">
        <f t="shared" si="867"/>
        <v>0.23922997895517581</v>
      </c>
      <c r="AI337" s="176">
        <f t="shared" si="867"/>
        <v>1.2298152553577685E-4</v>
      </c>
      <c r="AJ337" s="176">
        <f t="shared" ref="AJ337:BO337" si="868">SUM(AJ176:AJ330)</f>
        <v>0.11729261051081116</v>
      </c>
      <c r="AK337" s="176">
        <f t="shared" si="868"/>
        <v>0.1640821401022439</v>
      </c>
      <c r="AL337" s="176">
        <f t="shared" si="868"/>
        <v>3.002820995942573E-2</v>
      </c>
      <c r="AM337" s="176">
        <f t="shared" si="868"/>
        <v>1.3934564175412086E-2</v>
      </c>
      <c r="AN337" s="176">
        <f t="shared" si="868"/>
        <v>6.955140477552046</v>
      </c>
      <c r="AO337" s="176">
        <f t="shared" si="868"/>
        <v>5.534599672857115</v>
      </c>
      <c r="AP337" s="176">
        <f t="shared" si="868"/>
        <v>1.55641118365007</v>
      </c>
      <c r="AQ337" s="176">
        <f t="shared" si="868"/>
        <v>4.5548713161398844E-5</v>
      </c>
      <c r="AR337" s="176">
        <f t="shared" si="868"/>
        <v>4.3441707596596733E-2</v>
      </c>
      <c r="AS337" s="176">
        <f t="shared" si="868"/>
        <v>6.0771163000831074E-2</v>
      </c>
      <c r="AT337" s="176">
        <f t="shared" si="868"/>
        <v>1.1121559244231752E-2</v>
      </c>
      <c r="AU337" s="176">
        <f t="shared" si="868"/>
        <v>1.352246885753532E-14</v>
      </c>
      <c r="AV337" s="176">
        <f t="shared" si="868"/>
        <v>0.95274737736462123</v>
      </c>
      <c r="AW337" s="176">
        <f t="shared" si="868"/>
        <v>6.9005983442288041</v>
      </c>
      <c r="AX337" s="176">
        <f t="shared" si="868"/>
        <v>4.4570519416441984E-3</v>
      </c>
      <c r="AY337" s="176">
        <f t="shared" si="868"/>
        <v>1.5651023836159697E-2</v>
      </c>
      <c r="AZ337" s="176">
        <f t="shared" si="868"/>
        <v>0.46310585142687344</v>
      </c>
      <c r="BA337" s="176">
        <f t="shared" si="868"/>
        <v>4.3011326083872287E-3</v>
      </c>
      <c r="BB337" s="176">
        <f t="shared" si="868"/>
        <v>7.4108801522626298E-6</v>
      </c>
      <c r="BC337" s="176">
        <f t="shared" si="868"/>
        <v>1.3951263830677747E-4</v>
      </c>
      <c r="BD337" s="176">
        <f t="shared" si="868"/>
        <v>5.3101327542212411E-2</v>
      </c>
      <c r="BE337" s="176">
        <f t="shared" si="868"/>
        <v>7.7686348881071091E-4</v>
      </c>
      <c r="BF337" s="176">
        <f t="shared" si="868"/>
        <v>9.3597493056928976E-5</v>
      </c>
      <c r="BG337" s="176">
        <f t="shared" si="868"/>
        <v>1.5346446504254337E-3</v>
      </c>
      <c r="BH337" s="176">
        <f t="shared" si="868"/>
        <v>0.75285350073609281</v>
      </c>
      <c r="BI337" s="176">
        <f t="shared" si="868"/>
        <v>8.3339249520535438E-2</v>
      </c>
      <c r="BJ337" s="176">
        <f t="shared" si="868"/>
        <v>74758.229755251479</v>
      </c>
      <c r="BK337" s="176">
        <f t="shared" si="868"/>
        <v>4.540231888467381E-2</v>
      </c>
      <c r="BL337" s="176">
        <f t="shared" si="868"/>
        <v>6052.3310048273479</v>
      </c>
      <c r="BM337" s="176">
        <f t="shared" si="868"/>
        <v>1.3266137052603288</v>
      </c>
      <c r="BN337" s="176">
        <f t="shared" si="868"/>
        <v>0</v>
      </c>
      <c r="BO337" s="176">
        <f t="shared" si="868"/>
        <v>4.1276682150794671E-12</v>
      </c>
      <c r="BP337" s="176">
        <f t="shared" ref="BP337:CU337" si="869">SUM(BP176:BP330)</f>
        <v>3.1381264940468566E-7</v>
      </c>
      <c r="BQ337" s="176">
        <f t="shared" si="869"/>
        <v>2.680912071880557E-8</v>
      </c>
      <c r="BR337" s="176">
        <f t="shared" si="869"/>
        <v>2.4286764507660196E-5</v>
      </c>
      <c r="BS337" s="176">
        <f t="shared" si="869"/>
        <v>1.3595403984560026E-9</v>
      </c>
      <c r="BT337" s="176">
        <f t="shared" si="869"/>
        <v>0.12480767476564661</v>
      </c>
      <c r="BU337" s="176">
        <f t="shared" si="869"/>
        <v>7.4641581218694478E-2</v>
      </c>
      <c r="BV337" s="176">
        <f t="shared" si="869"/>
        <v>557.63074564959402</v>
      </c>
      <c r="BW337" s="176">
        <f t="shared" si="869"/>
        <v>1.3227377667016478E-11</v>
      </c>
      <c r="BX337" s="176">
        <f t="shared" si="869"/>
        <v>42.129979528729386</v>
      </c>
      <c r="BY337" s="176">
        <f t="shared" si="869"/>
        <v>0.98963281349822863</v>
      </c>
      <c r="BZ337" s="176">
        <f t="shared" si="869"/>
        <v>1.0732199898227018E-5</v>
      </c>
      <c r="CA337" s="176">
        <f t="shared" si="869"/>
        <v>9.1011433851474147E-3</v>
      </c>
      <c r="CB337" s="176">
        <f t="shared" si="869"/>
        <v>0.16159959537862603</v>
      </c>
      <c r="CC337" s="176">
        <f t="shared" si="869"/>
        <v>2.5951156356743329E-3</v>
      </c>
      <c r="CD337" s="176">
        <f t="shared" si="869"/>
        <v>5.2155396509893249E-5</v>
      </c>
      <c r="CE337" s="176">
        <f t="shared" si="869"/>
        <v>2.0224763159807632E-2</v>
      </c>
      <c r="CF337" s="176">
        <f t="shared" si="869"/>
        <v>0.35911007734670214</v>
      </c>
      <c r="CG337" s="176">
        <f t="shared" si="869"/>
        <v>5.766926351766918E-3</v>
      </c>
      <c r="CH337" s="176">
        <f t="shared" si="869"/>
        <v>3.9748888511951921E-6</v>
      </c>
      <c r="CI337" s="176">
        <f t="shared" si="869"/>
        <v>3.3707938463508938E-3</v>
      </c>
      <c r="CJ337" s="176">
        <f t="shared" si="869"/>
        <v>5.9851701992083679E-2</v>
      </c>
      <c r="CK337" s="176">
        <f t="shared" si="869"/>
        <v>9.6115393913864171E-4</v>
      </c>
      <c r="CL337" s="176">
        <f t="shared" si="869"/>
        <v>8.7831747214847568E-13</v>
      </c>
      <c r="CM337" s="176">
        <f t="shared" si="869"/>
        <v>2.2300558244476756E-2</v>
      </c>
      <c r="CN337" s="176">
        <f t="shared" si="869"/>
        <v>4.3956852985905286</v>
      </c>
      <c r="CO337" s="176">
        <f t="shared" si="869"/>
        <v>1.4232077060938374E-4</v>
      </c>
      <c r="CP337" s="176">
        <f t="shared" si="869"/>
        <v>3.6995042756676121E-4</v>
      </c>
      <c r="CQ337" s="176">
        <f t="shared" si="869"/>
        <v>0.37320057483554242</v>
      </c>
      <c r="CR337" s="176">
        <f t="shared" si="869"/>
        <v>1.382755060244834E-4</v>
      </c>
      <c r="CS337" s="176">
        <f t="shared" si="869"/>
        <v>3591193.9162128028</v>
      </c>
      <c r="CT337" s="176">
        <f t="shared" si="869"/>
        <v>1.0406485340640574E-3</v>
      </c>
      <c r="CU337" s="176">
        <f t="shared" si="869"/>
        <v>290690.96393759514</v>
      </c>
      <c r="CV337" s="176">
        <f t="shared" ref="CV337:EA337" si="870">SUM(CV176:CV330)</f>
        <v>20.39563319019824</v>
      </c>
      <c r="CW337" s="176">
        <f t="shared" si="870"/>
        <v>3522981.5816162648</v>
      </c>
      <c r="CX337" s="176">
        <f t="shared" si="870"/>
        <v>8.5919044652103446E-8</v>
      </c>
      <c r="CY337" s="176">
        <f t="shared" si="870"/>
        <v>285181.29775426904</v>
      </c>
      <c r="CZ337" s="176">
        <f t="shared" si="870"/>
        <v>40.796874570453845</v>
      </c>
      <c r="DA337" s="176">
        <f t="shared" si="870"/>
        <v>5944.5777133201946</v>
      </c>
      <c r="DB337" s="176">
        <f t="shared" si="870"/>
        <v>1.6687724181399846E-18</v>
      </c>
      <c r="DC337" s="176">
        <f t="shared" si="870"/>
        <v>485.13263124667935</v>
      </c>
      <c r="DD337" s="176">
        <f t="shared" si="870"/>
        <v>20.613541304967608</v>
      </c>
      <c r="DE337" s="176">
        <f t="shared" si="870"/>
        <v>1.3717993234605684E-6</v>
      </c>
      <c r="DF337" s="176">
        <f t="shared" si="870"/>
        <v>8.227782135174081E-4</v>
      </c>
      <c r="DG337" s="176">
        <f t="shared" si="870"/>
        <v>0.47704027237131169</v>
      </c>
      <c r="DH337" s="176">
        <f t="shared" si="870"/>
        <v>2.5315960636370218E-4</v>
      </c>
      <c r="DI337" s="176">
        <f t="shared" si="870"/>
        <v>3.6718905383725132E-14</v>
      </c>
      <c r="DJ337" s="176">
        <f t="shared" si="870"/>
        <v>1.4468281231679777E-4</v>
      </c>
      <c r="DK337" s="176">
        <f t="shared" si="870"/>
        <v>0.80961341053345259</v>
      </c>
      <c r="DL337" s="176">
        <f t="shared" si="870"/>
        <v>1.0985713318047673E-6</v>
      </c>
      <c r="DM337" s="176">
        <f t="shared" si="870"/>
        <v>1.6389059993401811E-6</v>
      </c>
      <c r="DN337" s="176">
        <f t="shared" si="870"/>
        <v>5.5843194905958335E-2</v>
      </c>
      <c r="DO337" s="176">
        <f t="shared" si="870"/>
        <v>1.0324495047840472E-6</v>
      </c>
      <c r="DP337" s="176">
        <f t="shared" si="870"/>
        <v>2636112.2380019668</v>
      </c>
      <c r="DQ337" s="176">
        <f t="shared" si="870"/>
        <v>7.8267288369376925E-6</v>
      </c>
      <c r="DR337" s="176">
        <f t="shared" si="870"/>
        <v>213017.95326412673</v>
      </c>
      <c r="DS337" s="176">
        <f t="shared" si="870"/>
        <v>7.4752583559392667</v>
      </c>
      <c r="DT337" s="176">
        <f t="shared" si="870"/>
        <v>2640022.5972089223</v>
      </c>
      <c r="DU337" s="176">
        <f t="shared" si="870"/>
        <v>7.5640944738186873E-10</v>
      </c>
      <c r="DV337" s="176">
        <f t="shared" si="870"/>
        <v>213336.30379928809</v>
      </c>
      <c r="DW337" s="176">
        <f t="shared" si="870"/>
        <v>14.173352086249206</v>
      </c>
      <c r="DX337" s="176">
        <f t="shared" si="870"/>
        <v>3908.411326484033</v>
      </c>
      <c r="DY337" s="176">
        <f t="shared" si="870"/>
        <v>1.5910215863354484E-20</v>
      </c>
      <c r="DZ337" s="176">
        <f t="shared" si="870"/>
        <v>318.43275209412974</v>
      </c>
      <c r="EA337" s="176">
        <f t="shared" si="870"/>
        <v>6.6981633956218536</v>
      </c>
      <c r="EB337" s="176">
        <f t="shared" ref="EB337:FB337" si="871">SUM(EB176:EB330)</f>
        <v>1.5339041468228313E-7</v>
      </c>
      <c r="EC337" s="176">
        <f t="shared" si="871"/>
        <v>3.9691974567650386E-6</v>
      </c>
      <c r="ED337" s="176">
        <f t="shared" si="871"/>
        <v>7.5041959496966931E-2</v>
      </c>
      <c r="EE337" s="176">
        <f t="shared" si="871"/>
        <v>1.3306328231760615E-6</v>
      </c>
      <c r="EF337" s="176">
        <f t="shared" si="871"/>
        <v>1.8352786300158427E-11</v>
      </c>
      <c r="EG337" s="176">
        <f t="shared" si="871"/>
        <v>2.5059806622993754E-4</v>
      </c>
      <c r="EH337" s="176">
        <f t="shared" si="871"/>
        <v>1.402283331308853</v>
      </c>
      <c r="EI337" s="176">
        <f t="shared" si="871"/>
        <v>1.9444531482554381E-6</v>
      </c>
      <c r="EJ337" s="176">
        <f t="shared" si="871"/>
        <v>5.2979257920206973E-6</v>
      </c>
      <c r="EK337" s="176">
        <f t="shared" si="871"/>
        <v>0.21034355352095122</v>
      </c>
      <c r="EL337" s="176">
        <f t="shared" si="871"/>
        <v>1.9248456204845351E-6</v>
      </c>
      <c r="EM337" s="176">
        <f t="shared" si="871"/>
        <v>6863288.0416215984</v>
      </c>
      <c r="EN337" s="176">
        <f t="shared" si="871"/>
        <v>1.7127774843036921E-5</v>
      </c>
      <c r="EO337" s="176">
        <f t="shared" si="871"/>
        <v>556572.83121542947</v>
      </c>
      <c r="EP337" s="176">
        <f t="shared" si="871"/>
        <v>86.285844311603711</v>
      </c>
      <c r="EQ337" s="176">
        <f t="shared" si="871"/>
        <v>6877979.8161722627</v>
      </c>
      <c r="ER337" s="176">
        <f t="shared" si="871"/>
        <v>1.2341852222702318E-9</v>
      </c>
      <c r="ES337" s="176">
        <f t="shared" si="871"/>
        <v>557780.61106110981</v>
      </c>
      <c r="ET337" s="176">
        <f t="shared" si="871"/>
        <v>197.95980429082414</v>
      </c>
      <c r="EU337" s="176">
        <f t="shared" si="871"/>
        <v>14691.330536114621</v>
      </c>
      <c r="EV337" s="176">
        <f t="shared" si="871"/>
        <v>2.2933041189667231E-20</v>
      </c>
      <c r="EW337" s="176">
        <f t="shared" si="871"/>
        <v>1201.3160264624375</v>
      </c>
      <c r="EX337" s="176">
        <f t="shared" si="871"/>
        <v>111.65837483641562</v>
      </c>
      <c r="EY337" s="176">
        <f t="shared" si="871"/>
        <v>6.0519370557617783E-8</v>
      </c>
      <c r="EZ337" s="176">
        <f t="shared" si="871"/>
        <v>5.9370608697417397E-6</v>
      </c>
      <c r="FA337" s="176">
        <f t="shared" si="871"/>
        <v>0.13921051058924908</v>
      </c>
      <c r="FB337" s="206">
        <f t="shared" si="871"/>
        <v>1.8873708314531898E-6</v>
      </c>
    </row>
    <row r="338" spans="2:158" ht="12.75" customHeight="1" x14ac:dyDescent="0.3">
      <c r="B338" s="207" t="s">
        <v>4121</v>
      </c>
      <c r="C338" s="176">
        <f>SUM(D338:EY338)</f>
        <v>20.082532836453197</v>
      </c>
      <c r="D338" s="176">
        <f>k.aRG*D168</f>
        <v>9.6439851630183406E-21</v>
      </c>
      <c r="E338" s="176">
        <f>k.aRS*E168</f>
        <v>3.704829954031203E-5</v>
      </c>
      <c r="F338" s="176">
        <f>k.aRA*F168</f>
        <v>2.2494951442740891E-4</v>
      </c>
      <c r="G338" s="176">
        <f>k.aRP*G168</f>
        <v>7.1376427792281112E-8</v>
      </c>
      <c r="H338" s="176">
        <v>0</v>
      </c>
      <c r="I338" s="176">
        <v>0</v>
      </c>
      <c r="J338" s="176">
        <v>0</v>
      </c>
      <c r="K338" s="176">
        <f>k.w0RD*K168</f>
        <v>1.9542386674976269E-15</v>
      </c>
      <c r="L338" s="176">
        <f>k.w0RS*L168</f>
        <v>0</v>
      </c>
      <c r="M338" s="176">
        <f>k.w0RA*M168</f>
        <v>0</v>
      </c>
      <c r="N338" s="176">
        <f>k.w0RP*N168</f>
        <v>0</v>
      </c>
      <c r="O338" s="176">
        <f>k.w1RD*O168</f>
        <v>7.7845333884321826E-16</v>
      </c>
      <c r="P338" s="176">
        <f>k.w1RS*P168</f>
        <v>0</v>
      </c>
      <c r="Q338" s="176">
        <f>k.w1RA*Q168</f>
        <v>0</v>
      </c>
      <c r="R338" s="176">
        <f>k.w1RP*R168</f>
        <v>0</v>
      </c>
      <c r="S338" s="176">
        <f>k.w2RD*S168</f>
        <v>1.1510259077993613E-13</v>
      </c>
      <c r="T338" s="176">
        <f>k.w2RS*T168</f>
        <v>0</v>
      </c>
      <c r="U338" s="176">
        <f>k.w2RA*U168</f>
        <v>0</v>
      </c>
      <c r="V338" s="176">
        <f>k.w2RP*V168</f>
        <v>0</v>
      </c>
      <c r="W338" s="176">
        <f>k.sd0RD*W168</f>
        <v>4.5570939392116231E-5</v>
      </c>
      <c r="X338" s="176">
        <f>k.sd0RS*X168</f>
        <v>5.8606417048943074E-16</v>
      </c>
      <c r="Y338" s="176">
        <f>k.sd0RA*Y168</f>
        <v>8.2199779431961259E-2</v>
      </c>
      <c r="Z338" s="176">
        <f>k.sd0RP*Z168</f>
        <v>0.13091496497621277</v>
      </c>
      <c r="AA338" s="176">
        <f>k.sd1RD*AA168</f>
        <v>2.2583536909187457E-4</v>
      </c>
      <c r="AB338" s="176">
        <f>k.sd1RS*AB168</f>
        <v>6.5514525378651396E-11</v>
      </c>
      <c r="AC338" s="176">
        <f>k.sd1RA*AC168</f>
        <v>0.255009365666861</v>
      </c>
      <c r="AD338" s="176">
        <f>k.sd1RP*AD168</f>
        <v>1.9549689017602312</v>
      </c>
      <c r="AE338" s="176">
        <f>k.sd2RD*AE168</f>
        <v>2.7822543217923905E-3</v>
      </c>
      <c r="AF338" s="176">
        <f>k.sd2RS*AF168</f>
        <v>3.9613474456926673E-18</v>
      </c>
      <c r="AG338" s="176">
        <f>k.sd2RA*AG168</f>
        <v>4.8961719142143912E-3</v>
      </c>
      <c r="AH338" s="176">
        <f>k.sd2RP*AH168</f>
        <v>2.4605632577884291E-2</v>
      </c>
      <c r="AI338" s="176">
        <f>k.s1RD*AI168</f>
        <v>8.2437509340725224E-7</v>
      </c>
      <c r="AJ338" s="176">
        <f>k.s1RS*AJ168</f>
        <v>8.6949733429397794E-10</v>
      </c>
      <c r="AK338" s="176">
        <f>k.s1RA*AK168</f>
        <v>1.1054268534436398E-3</v>
      </c>
      <c r="AL338" s="176">
        <f>k.s1RP*AL168</f>
        <v>0</v>
      </c>
      <c r="AM338" s="176">
        <f>k.s2RD*AM168</f>
        <v>9.3406774679571054E-5</v>
      </c>
      <c r="AN338" s="176">
        <f>k.s2RS*AN168</f>
        <v>2.3462102551102672E-8</v>
      </c>
      <c r="AO338" s="176">
        <f>k.s2RA*AO168</f>
        <v>3.7289017511378045E-2</v>
      </c>
      <c r="AP338" s="176">
        <f>k.s2RP*AP168</f>
        <v>0</v>
      </c>
      <c r="AQ338" s="176">
        <f>k.s3RD*AQ168</f>
        <v>3.0532410866935266E-7</v>
      </c>
      <c r="AR338" s="176">
        <f>k.s3RS*AR168</f>
        <v>3.2203604973851036E-10</v>
      </c>
      <c r="AS338" s="176">
        <f>k.s3RA*AS168</f>
        <v>4.0941735312727403E-4</v>
      </c>
      <c r="AT338" s="176">
        <f>k.s3RP*AT168</f>
        <v>0</v>
      </c>
      <c r="AU338" s="176">
        <f>k.aC*AU168</f>
        <v>5.2257355653544765E-19</v>
      </c>
      <c r="AV338" s="176">
        <f>k.aCS*AV168</f>
        <v>5.9112249101371128E-6</v>
      </c>
      <c r="AW338" s="176">
        <f>k.aCA*AW168</f>
        <v>9.7029688172868751E-4</v>
      </c>
      <c r="AX338" s="176">
        <f>k.aCP*AX168</f>
        <v>2.1295128147986073E-8</v>
      </c>
      <c r="AY338" s="176">
        <v>0</v>
      </c>
      <c r="AZ338" s="176">
        <v>0</v>
      </c>
      <c r="BA338" s="176">
        <v>0</v>
      </c>
      <c r="BB338" s="176">
        <f>k.w0C*BB168</f>
        <v>1.2149249377945649E-17</v>
      </c>
      <c r="BC338" s="176">
        <f>k.w0CS*BC168</f>
        <v>0</v>
      </c>
      <c r="BD338" s="176">
        <f>k.w0CA*BD168</f>
        <v>0</v>
      </c>
      <c r="BE338" s="176">
        <f>k.w0CP*BE168</f>
        <v>0</v>
      </c>
      <c r="BF338" s="176">
        <f>k.w1C*BF168</f>
        <v>3.8474281876395799E-18</v>
      </c>
      <c r="BG338" s="176">
        <f>k.w1CS*BG168</f>
        <v>0</v>
      </c>
      <c r="BH338" s="176">
        <f>k.w1CA*BH168</f>
        <v>0</v>
      </c>
      <c r="BI338" s="176">
        <f>k.w1CP*BI168</f>
        <v>0</v>
      </c>
      <c r="BJ338" s="176">
        <f>k.w2C*BJ168</f>
        <v>9.4955605147547862E-9</v>
      </c>
      <c r="BK338" s="176">
        <f>k.w2CS*BK168</f>
        <v>0</v>
      </c>
      <c r="BL338" s="176">
        <f>k.w2CA*BL168</f>
        <v>0</v>
      </c>
      <c r="BM338" s="176">
        <f>k.w2CP*BM168</f>
        <v>0</v>
      </c>
      <c r="BN338" s="176">
        <f>k.sd0CD*BN168</f>
        <v>5.7817088648988053E-7</v>
      </c>
      <c r="BO338" s="176">
        <f>k.sd0CS*BO168</f>
        <v>4.5135734547339714E-17</v>
      </c>
      <c r="BP338" s="176">
        <f>k.sd0CA*BP168</f>
        <v>9.0196922767731627E-3</v>
      </c>
      <c r="BQ338" s="176">
        <f>k.sd0CP*BQ168</f>
        <v>7.7055536019090566E-4</v>
      </c>
      <c r="BR338" s="176">
        <f>k.sd1C*BR168</f>
        <v>1.1245870596638999E-6</v>
      </c>
      <c r="BS338" s="176">
        <f>k.sd1CS*BS168</f>
        <v>1.4864969008438648E-14</v>
      </c>
      <c r="BT338" s="176">
        <f>k.sd1CA*BT168</f>
        <v>1.3518308413965032E-2</v>
      </c>
      <c r="BU338" s="176">
        <f>k.sd1CP*BU168</f>
        <v>8.0846624000887775E-3</v>
      </c>
      <c r="BV338" s="176">
        <f>k.sd2C*BV168</f>
        <v>11.464004520501453</v>
      </c>
      <c r="BW338" s="176">
        <f>k.sd2CS*BW168</f>
        <v>9.192364180366794E-19</v>
      </c>
      <c r="BX338" s="176">
        <f>k.sd2CA*BX168</f>
        <v>4.3281976466007528</v>
      </c>
      <c r="BY338" s="176">
        <f>k.sd2CP*BY168</f>
        <v>0.1016693210463351</v>
      </c>
      <c r="BZ338" s="176">
        <f>k.s1C*BZ168</f>
        <v>7.1940547614953748E-8</v>
      </c>
      <c r="CA338" s="176">
        <f>k.s1CS*CA168</f>
        <v>6.7467335563168698E-11</v>
      </c>
      <c r="CB338" s="176">
        <f>k.s1CA*CB168</f>
        <v>1.0887018667957819E-3</v>
      </c>
      <c r="CC338" s="176">
        <f>k.s1CP*CC168</f>
        <v>0</v>
      </c>
      <c r="CD338" s="176">
        <f>k.s2C*CD168</f>
        <v>3.4961031495477077E-7</v>
      </c>
      <c r="CE338" s="176">
        <f>k.s2CS*CE168</f>
        <v>6.822514496417216E-11</v>
      </c>
      <c r="CF338" s="176">
        <f>k.s2CA*CF168</f>
        <v>2.4194815802785533E-3</v>
      </c>
      <c r="CG338" s="176">
        <f>k.s2CP*CG168</f>
        <v>0</v>
      </c>
      <c r="CH338" s="176">
        <f>k.s3C*CH168</f>
        <v>2.6644647264797671E-8</v>
      </c>
      <c r="CI338" s="176">
        <f>k.s3CS*CI168</f>
        <v>2.4987902060432849E-11</v>
      </c>
      <c r="CJ338" s="176">
        <f>k.s3CA*CJ168</f>
        <v>4.032229136280672E-4</v>
      </c>
      <c r="CK338" s="176">
        <f>k.s3CP*CK168</f>
        <v>0</v>
      </c>
      <c r="CL338" s="176">
        <f>k.aM*CL168</f>
        <v>3.5462250167812522E-17</v>
      </c>
      <c r="CM338" s="176">
        <f>k.aMS*CM168</f>
        <v>1.3972633393452844E-7</v>
      </c>
      <c r="CN338" s="176">
        <f>k.aMA*CN168</f>
        <v>7.8192783120007749E-4</v>
      </c>
      <c r="CO338" s="176">
        <f>k.aMP*CO168</f>
        <v>6.8460912243835989E-10</v>
      </c>
      <c r="CP338" s="176">
        <v>0</v>
      </c>
      <c r="CQ338" s="176">
        <v>0</v>
      </c>
      <c r="CR338" s="176">
        <v>0</v>
      </c>
      <c r="CS338" s="176">
        <f>k.w2M*CS168</f>
        <v>4.9596961315956149E-8</v>
      </c>
      <c r="CT338" s="176">
        <f>k.w2MS*CT168</f>
        <v>0</v>
      </c>
      <c r="CU338" s="176">
        <f>k.w2MA*CU168</f>
        <v>0</v>
      </c>
      <c r="CV338" s="176">
        <f>k.w2MP*CV168</f>
        <v>0</v>
      </c>
      <c r="CW338" s="176">
        <f>k.w3M*CW168</f>
        <v>1.4879107135400917E-6</v>
      </c>
      <c r="CX338" s="176">
        <f>k.w3MS*CX168</f>
        <v>0</v>
      </c>
      <c r="CY338" s="176">
        <f>k.w3MA*CY168</f>
        <v>0</v>
      </c>
      <c r="CZ338" s="176">
        <f>k.w3MP*CZ168</f>
        <v>0</v>
      </c>
      <c r="DA338" s="176">
        <f>k.sdM*DA168</f>
        <v>0.39125627216318376</v>
      </c>
      <c r="DB338" s="176">
        <f>k.sdMS*DB168</f>
        <v>3.7888769556661778E-28</v>
      </c>
      <c r="DC338" s="176">
        <f>k.sdMA*DC168</f>
        <v>0.14770580501581063</v>
      </c>
      <c r="DD338" s="176">
        <f>k.sdMP*DD168</f>
        <v>6.2760975382188215E-3</v>
      </c>
      <c r="DE338" s="176">
        <f>k.sM*DE168</f>
        <v>9.1955046946041149E-9</v>
      </c>
      <c r="DF338" s="176">
        <f>k.sMS*DF168</f>
        <v>6.0993054912236533E-12</v>
      </c>
      <c r="DG338" s="176">
        <f>k.sMA*DG168</f>
        <v>3.2138362342465847E-3</v>
      </c>
      <c r="DH338" s="176">
        <f>k.sMP*DH168</f>
        <v>0</v>
      </c>
      <c r="DI338" s="176">
        <f>k.aA*DI168</f>
        <v>1.5444639991164642E-18</v>
      </c>
      <c r="DJ338" s="176">
        <f>k.aAS*DJ168</f>
        <v>9.4498211027454008E-10</v>
      </c>
      <c r="DK338" s="176">
        <f>k.aAA*DK168</f>
        <v>1.8756993951386092E-4</v>
      </c>
      <c r="DL338" s="176">
        <f>k.aAP*DL168</f>
        <v>1.431278926623148E-11</v>
      </c>
      <c r="DM338" s="176">
        <v>0</v>
      </c>
      <c r="DN338" s="176">
        <v>0</v>
      </c>
      <c r="DO338" s="176">
        <v>0</v>
      </c>
      <c r="DP338" s="176">
        <f>k.w2A*DP168</f>
        <v>8.6471400268468412E-9</v>
      </c>
      <c r="DQ338" s="176">
        <f>k.w2AS*DQ168</f>
        <v>0</v>
      </c>
      <c r="DR338" s="176">
        <f>k.w2AA*DR168</f>
        <v>0</v>
      </c>
      <c r="DS338" s="176">
        <f>k.w2AP*DS168</f>
        <v>0</v>
      </c>
      <c r="DT338" s="176">
        <f>k.w3A*DT168</f>
        <v>2.1290301397872635E-7</v>
      </c>
      <c r="DU338" s="176">
        <f>k.w3AS*DU168</f>
        <v>0</v>
      </c>
      <c r="DV338" s="176">
        <f>k.w3AA*DV168</f>
        <v>0</v>
      </c>
      <c r="DW338" s="176">
        <f>k.w3AP*DW168</f>
        <v>0</v>
      </c>
      <c r="DX338" s="176">
        <f>k.sdA*DX168</f>
        <v>0.18224058814080102</v>
      </c>
      <c r="DY338" s="176">
        <f>k.sdAS*DY168</f>
        <v>2.7320032633863631E-30</v>
      </c>
      <c r="DZ338" s="176">
        <f>k.sdAA*DZ168</f>
        <v>6.8679817701400636E-2</v>
      </c>
      <c r="EA338" s="176">
        <f>k.sdAP*EA168</f>
        <v>1.4446649658999826E-3</v>
      </c>
      <c r="EB338" s="176">
        <f>k.sA*EB168</f>
        <v>1.0187684173996299E-9</v>
      </c>
      <c r="EC338" s="176">
        <f>k.sAS*EC168</f>
        <v>1.1318227263110949E-14</v>
      </c>
      <c r="ED338" s="176">
        <f>k.sAA*ED168</f>
        <v>5.0543682339042675E-4</v>
      </c>
      <c r="EE338" s="176">
        <f>k.sAP*EE168</f>
        <v>0</v>
      </c>
      <c r="EF338" s="176">
        <f>k.aT*EF168</f>
        <v>7.9224414369172554E-16</v>
      </c>
      <c r="EG338" s="176">
        <f>k.aTS*EG168</f>
        <v>1.5524417355654098E-9</v>
      </c>
      <c r="EH338" s="176">
        <f>k.aTA*EH168</f>
        <v>3.3181196529430862E-4</v>
      </c>
      <c r="EI338" s="176">
        <f>k.aTP*EI168</f>
        <v>5.131543518661593E-12</v>
      </c>
      <c r="EJ338" s="176">
        <v>0</v>
      </c>
      <c r="EK338" s="176">
        <v>0</v>
      </c>
      <c r="EL338" s="176">
        <v>0</v>
      </c>
      <c r="EM338" s="176">
        <f>k.w2T*EM168</f>
        <v>2.8102100179254871E-7</v>
      </c>
      <c r="EN338" s="176">
        <f>k.w2TS*EN168</f>
        <v>0</v>
      </c>
      <c r="EO338" s="176">
        <f>k.w2TA*EO168</f>
        <v>0</v>
      </c>
      <c r="EP338" s="176">
        <f>k.w2TP*EP168</f>
        <v>0</v>
      </c>
      <c r="EQ338" s="176">
        <f>k.w3T*EQ168</f>
        <v>9.0541489282470624E-6</v>
      </c>
      <c r="ER338" s="176">
        <f>k.w3TS*ER168</f>
        <v>0</v>
      </c>
      <c r="ES338" s="176">
        <f>k.w3TA*ES168</f>
        <v>0</v>
      </c>
      <c r="ET338" s="176">
        <f>k.w3TP*ET168</f>
        <v>0</v>
      </c>
      <c r="EU338" s="176">
        <f>k.sdT*EU168</f>
        <v>0.68502429897176065</v>
      </c>
      <c r="EV338" s="176">
        <f>k.sdTS*EV168</f>
        <v>2.1342641661822933E-30</v>
      </c>
      <c r="EW338" s="176">
        <f>k.sdTA*EW168</f>
        <v>0.15546045152068408</v>
      </c>
      <c r="EX338" s="176">
        <f>k.sdTP*EX168</f>
        <v>1.4449537828319087E-2</v>
      </c>
      <c r="EY338" s="176">
        <f>k.sT*EY168</f>
        <v>4.066427165321668E-10</v>
      </c>
      <c r="EZ338" s="176">
        <f>k.sTS*EZ168</f>
        <v>7.8431730650081861E-14</v>
      </c>
      <c r="FA338" s="176">
        <f>k.sTA*FA168</f>
        <v>9.3792455266540338E-4</v>
      </c>
      <c r="FB338" s="176">
        <f>k.sTP*FB168</f>
        <v>0</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nTiO2_10nm</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2674699.1707973061</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2674699.1707973061</v>
      </c>
      <c r="I10" s="335" t="s">
        <v>4127</v>
      </c>
      <c r="J10" s="493"/>
      <c r="K10" s="897" t="s">
        <v>4132</v>
      </c>
      <c r="AP10" s="494"/>
    </row>
    <row r="11" spans="1:164" ht="12.75" customHeight="1" x14ac:dyDescent="0.3">
      <c r="A11" s="489"/>
      <c r="B11" s="489"/>
      <c r="C11" s="489"/>
      <c r="D11" s="489"/>
      <c r="F11" s="657" t="s">
        <v>4133</v>
      </c>
      <c r="G11" s="689">
        <f>Scale*(M.tot/Emis.tot)/(3600*24*365)</f>
        <v>2674699.1707973061</v>
      </c>
      <c r="H11" s="689">
        <f>2*Scale*(M.tot/Emis.tot)/(3600*24*365)</f>
        <v>5349398.3415946122</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6.6944902535023516</v>
      </c>
      <c r="L15" s="15">
        <v>0</v>
      </c>
      <c r="M15" s="15">
        <v>0</v>
      </c>
      <c r="N15" s="15">
        <v>0</v>
      </c>
      <c r="O15" s="15">
        <v>0</v>
      </c>
      <c r="P15" s="15">
        <v>0</v>
      </c>
      <c r="Q15" s="15">
        <v>0</v>
      </c>
      <c r="R15" s="15">
        <v>0</v>
      </c>
      <c r="S15" s="15">
        <v>0</v>
      </c>
      <c r="T15" s="15">
        <v>0</v>
      </c>
      <c r="U15" s="15">
        <v>0</v>
      </c>
      <c r="V15" s="15">
        <v>6.6944902535023516</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6.6944902535023516</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10</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nTiO2_10nm</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2632.1138216525001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102063.6723737127</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700871.61006451584</v>
      </c>
      <c r="C6" s="321" t="s">
        <v>1089</v>
      </c>
    </row>
    <row r="7" spans="1:3" ht="14.5" x14ac:dyDescent="0.3">
      <c r="A7" s="317" t="s">
        <v>4407</v>
      </c>
      <c r="B7" s="318">
        <f>(kwsd.water.wM*kwsd.sed.sdM)/(kwsd.water.wM+kwsd.sed.sdM)*FRw.w3M*(SYSTEMAREA.M*AREAFRAC.wM)</f>
        <v>1066028.1925726347</v>
      </c>
      <c r="C7" s="321" t="s">
        <v>1089</v>
      </c>
    </row>
    <row r="8" spans="1:3" ht="14.5" x14ac:dyDescent="0.3">
      <c r="A8" s="317" t="s">
        <v>4408</v>
      </c>
      <c r="B8" s="318">
        <f>(kwsd.water.wT*kwsd.sed.sdT)/(kwsd.water.wT+kwsd.sed.sdT)*FRw.w3T*(SYSTEMAREA.T*AREAFRAC.wT)</f>
        <v>2453050.6352258055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2.6424826653137157E-2</v>
      </c>
      <c r="C14" s="319" t="s">
        <v>1226</v>
      </c>
    </row>
    <row r="15" spans="1:3" ht="14.5" x14ac:dyDescent="0.3">
      <c r="A15" s="317" t="s">
        <v>2147</v>
      </c>
      <c r="B15" s="318">
        <f>(FRaerw.aC+FRaers.aC)*(tdry.C+twet.C)/twet.C*RAINrate.C*COLLECTeff.C</f>
        <v>7.3989514628752737E-2</v>
      </c>
      <c r="C15" s="319" t="s">
        <v>1226</v>
      </c>
    </row>
    <row r="16" spans="1:3" ht="14.5" x14ac:dyDescent="0.3">
      <c r="A16" s="317" t="s">
        <v>2717</v>
      </c>
      <c r="B16" s="318">
        <f>(FRaerw.aM+FRaers.aM)*(tdry.M+twet.M)/twet.M*RAINrate.M*COLLECTeff.M</f>
        <v>7.3989514628752737E-2</v>
      </c>
      <c r="C16" s="319" t="s">
        <v>1226</v>
      </c>
    </row>
    <row r="17" spans="1:3" ht="14.5" x14ac:dyDescent="0.3">
      <c r="A17" s="317" t="s">
        <v>1228</v>
      </c>
      <c r="B17" s="318">
        <f>(FRaerw.aR+FRaers.aR)*(tdry.R+twet.R)/twet.R*COLLECTeff.R*RAINrate.R</f>
        <v>7.3989514628752723E-2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2.7428797247595133E-2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136287023657.60262</v>
      </c>
      <c r="C151" s="321" t="s">
        <v>1089</v>
      </c>
    </row>
    <row r="152" spans="1:3" ht="14.5" x14ac:dyDescent="0.3">
      <c r="A152" s="317" t="s">
        <v>4432</v>
      </c>
      <c r="B152" s="318">
        <f>(KDEPmean.A*HEIGHT.aA)*(SYSTEMAREA.A*AREAFRAC.wA)</f>
        <v>204430535486.40393</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306734653218.51788</v>
      </c>
      <c r="C159" s="321" t="s">
        <v>1089</v>
      </c>
    </row>
    <row r="160" spans="1:3" ht="14.5" x14ac:dyDescent="0.3">
      <c r="A160" s="317" t="s">
        <v>4440</v>
      </c>
      <c r="B160" s="318">
        <f>(KDEPmean.M*HEIGHT.aM)*(SYSTEMAREA.M*AREAFRAC.wM)</f>
        <v>306734653218.51788</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309305706614.81989</v>
      </c>
      <c r="C167" s="321" t="s">
        <v>1089</v>
      </c>
    </row>
    <row r="168" spans="1:3" ht="14.5" x14ac:dyDescent="0.3">
      <c r="A168" s="317" t="s">
        <v>4448</v>
      </c>
      <c r="B168" s="318">
        <f>(KDEPmean.T*HEIGHT.aT)*(SYSTEMAREA.T*AREAFRAC.wT)</f>
        <v>721713315434.57959</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102.19538982270321</v>
      </c>
      <c r="C216" s="317" t="s">
        <v>1089</v>
      </c>
    </row>
    <row r="217" spans="1:3" ht="14.5" x14ac:dyDescent="0.3">
      <c r="A217" s="317" t="s">
        <v>4465</v>
      </c>
      <c r="B217" s="318">
        <f>((kwsd.water.wR*kwsd.sed.sdR)/(kwsd.water.wR+kwsd.sed.sdR))/Ksdw1.R*(SYSTEMAREA.R*AREAFRAC.w1R)</f>
        <v>6.7010534768593155</v>
      </c>
      <c r="C217" s="317" t="s">
        <v>1089</v>
      </c>
    </row>
    <row r="218" spans="1:3" ht="14.5" x14ac:dyDescent="0.3">
      <c r="A218" s="317" t="s">
        <v>4466</v>
      </c>
      <c r="B218" s="318">
        <f>((kwsd.water.wC*kwsd.sed.sdC)/(kwsd.water.wC+kwsd.sed.sdC))/Ksdw2.C*(SYSTEMAREA.C*AREAFRAC.w2C)</f>
        <v>3958.8045820861162</v>
      </c>
      <c r="C218" s="317" t="s">
        <v>1089</v>
      </c>
    </row>
    <row r="219" spans="1:3" ht="14.5" x14ac:dyDescent="0.3">
      <c r="A219" s="317" t="s">
        <v>4467</v>
      </c>
      <c r="B219" s="318">
        <f>((kwsd.water.wR*kwsd.sed.sdR)/(kwsd.water.wR+kwsd.sed.sdR))/Ksdw2.R*(SYSTEMAREA.R*AREAFRAC.w2R)</f>
        <v>1.0660833525213</v>
      </c>
      <c r="C219" s="317" t="s">
        <v>1089</v>
      </c>
    </row>
    <row r="220" spans="1:3" ht="14.5" x14ac:dyDescent="0.3">
      <c r="A220" s="317" t="s">
        <v>4468</v>
      </c>
      <c r="B220" s="318">
        <f>((kwsd.water.wA*kwsd.sed.sdA)/(kwsd.water.wA+kwsd.sed.sdA))/Ksdw.A*(SYSTEMAREA.A*AREAFRAC.wA)</f>
        <v>27185.125489293117</v>
      </c>
      <c r="C220" s="321" t="s">
        <v>1089</v>
      </c>
    </row>
    <row r="221" spans="1:3" ht="14.5" x14ac:dyDescent="0.3">
      <c r="A221" s="317" t="s">
        <v>4469</v>
      </c>
      <c r="B221" s="318">
        <f>((kwsd.water.wM*kwsd.sed.sdM)/(kwsd.water.wM+kwsd.sed.sdM))/Ksdw.M*(SYSTEMAREA.M*AREAFRAC.wM)</f>
        <v>41348.67181671656</v>
      </c>
      <c r="C221" s="321" t="s">
        <v>1089</v>
      </c>
    </row>
    <row r="222" spans="1:3" ht="14.5" x14ac:dyDescent="0.3">
      <c r="A222" s="317" t="s">
        <v>4470</v>
      </c>
      <c r="B222" s="318">
        <f>((kwsd.water.wT*kwsd.sed.sdT)/(kwsd.water.wT+kwsd.sed.sdT))/Ksdw.T*(SYSTEMAREA.T*AREAFRAC.wT)</f>
        <v>95147.939212525918</v>
      </c>
      <c r="C222" s="321" t="s">
        <v>1089</v>
      </c>
    </row>
    <row r="223" spans="1:3" ht="14.5" x14ac:dyDescent="0.3">
      <c r="A223" s="317" t="s">
        <v>806</v>
      </c>
      <c r="B223" s="321">
        <f>0.0000257*SQRT(18)/SQRT(Molweight*1000)</f>
        <v>1.5842781631137075E-5</v>
      </c>
      <c r="C223" s="319" t="s">
        <v>807</v>
      </c>
    </row>
    <row r="224" spans="1:3" ht="14.5" x14ac:dyDescent="0.3">
      <c r="A224" s="317" t="s">
        <v>810</v>
      </c>
      <c r="B224" s="321">
        <f>0.000000002*SQRT(32)/SQRT(Molweight*1000)</f>
        <v>1.6438683923358837E-9</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1E-3</v>
      </c>
      <c r="C231" s="320" t="s">
        <v>1226</v>
      </c>
    </row>
    <row r="232" spans="1:3" ht="14.5" x14ac:dyDescent="0.3">
      <c r="A232" s="319" t="s">
        <v>2146</v>
      </c>
      <c r="B232" s="318">
        <f>AEROSOLdeprate.C*(FRaerw.aC+FRaers.aC)</f>
        <v>9.9999999999957675E-4</v>
      </c>
      <c r="C232" s="319" t="s">
        <v>1226</v>
      </c>
    </row>
    <row r="233" spans="1:3" ht="14.5" x14ac:dyDescent="0.3">
      <c r="A233" s="319" t="s">
        <v>2716</v>
      </c>
      <c r="B233" s="318">
        <f>AEROSOLdeprate.M*(FRaerw.aM+FRaers.aM)</f>
        <v>9.9999999999957675E-4</v>
      </c>
      <c r="C233" s="320" t="s">
        <v>1226</v>
      </c>
    </row>
    <row r="234" spans="1:3" ht="14.5" x14ac:dyDescent="0.3">
      <c r="A234" s="319" t="s">
        <v>1225</v>
      </c>
      <c r="B234" s="318">
        <f>AEROSOLdeprate.R*(FRaerw.aR+FRaers.aR)</f>
        <v>9.9999999999957675E-4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0.99337748344370858</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0.99337748344370858</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0.99337748344370858</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0.99337748344370858</v>
      </c>
      <c r="C393" s="317" t="s">
        <v>314</v>
      </c>
    </row>
    <row r="394" spans="1:3" x14ac:dyDescent="0.3">
      <c r="A394" s="319" t="s">
        <v>2693</v>
      </c>
      <c r="B394" s="318">
        <f>FRACs.sM / (FRACa.sM*Kaw.M*FRorig.s1w/(Kp.sM*RHOsolid/1000)+FRACw.sM/(Kp.sM*RHOsolid/1000)+FRACs.sM )</f>
        <v>0.99337748344370858</v>
      </c>
      <c r="C394" s="317" t="s">
        <v>314</v>
      </c>
    </row>
    <row r="395" spans="1:3" x14ac:dyDescent="0.3">
      <c r="A395" s="319" t="s">
        <v>3392</v>
      </c>
      <c r="B395" s="318">
        <f>FRACs.sT/ (FRACa.sT*Kaw.T*FRorig.s1w/(Kp.sT*RHOsolid/1000)+FRACw.sT/(Kp.sT*RHOsolid/1000)+FRACs.sT )</f>
        <v>0.99337748344370858</v>
      </c>
      <c r="C395" s="317" t="s">
        <v>314</v>
      </c>
    </row>
    <row r="396" spans="1:3" x14ac:dyDescent="0.3">
      <c r="A396" s="319" t="s">
        <v>2094</v>
      </c>
      <c r="B396" s="318">
        <f>FRACw.s1C/(FRACa.s1C*(Kaw.C*FRorig.s1w)+FRACw.s1C+FRACs.s1C*Kp.s1C*RHOsolid/1000)</f>
        <v>6.6225165562913907E-3</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6.6225165562913907E-3</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6.6225165562913907E-3</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6.6225165562913907E-3</v>
      </c>
      <c r="C402" s="317" t="s">
        <v>314</v>
      </c>
    </row>
    <row r="403" spans="1:3" x14ac:dyDescent="0.3">
      <c r="A403" s="319" t="s">
        <v>2691</v>
      </c>
      <c r="B403" s="318">
        <f>FRACw.sM/(FRACa.sM*(Kaw.M*FRorig.s1w)+FRACw.sM+FRACs.sM*Kp.sM*RHOsolid/1000)</f>
        <v>6.6225165562913907E-3</v>
      </c>
      <c r="C403" s="317" t="s">
        <v>314</v>
      </c>
    </row>
    <row r="404" spans="1:3" x14ac:dyDescent="0.3">
      <c r="A404" s="319" t="s">
        <v>3391</v>
      </c>
      <c r="B404" s="318">
        <f>FRACw.sT/(FRACa.sT*(Kaw.T*FRorig.s1w)+FRACw.sT+FRACs.sT*Kp.sT*RHOsolid/1000)</f>
        <v>6.6225165562913907E-3</v>
      </c>
      <c r="C404" s="317" t="s">
        <v>314</v>
      </c>
    </row>
    <row r="405" spans="1:3" x14ac:dyDescent="0.3">
      <c r="A405" s="319" t="s">
        <v>2069</v>
      </c>
      <c r="B405" s="323">
        <f>1/(1+Kp.susp0C*SUSP.w0C/1000+Kp.col0C*COL.w0C/1000)</f>
        <v>0.99973007288032212</v>
      </c>
      <c r="C405" s="317" t="s">
        <v>314</v>
      </c>
    </row>
    <row r="406" spans="1:3" x14ac:dyDescent="0.3">
      <c r="A406" s="319" t="s">
        <v>4512</v>
      </c>
      <c r="B406" s="323">
        <f>1/(1+Kp.susp0R*SUSP.w0R/1000+Kp.col0R*COL.w0R/1000)</f>
        <v>0.99973007288032212</v>
      </c>
      <c r="C406" s="317" t="s">
        <v>314</v>
      </c>
    </row>
    <row r="407" spans="1:3" x14ac:dyDescent="0.3">
      <c r="A407" s="319" t="s">
        <v>2074</v>
      </c>
      <c r="B407" s="323">
        <f>1/(1+Kp.susp1C*SUSP.w1C/1000+Kp.col1C*COL.w1C/1000)</f>
        <v>0.99828295332028893</v>
      </c>
      <c r="C407" s="317" t="s">
        <v>314</v>
      </c>
    </row>
    <row r="408" spans="1:3" x14ac:dyDescent="0.3">
      <c r="A408" s="319" t="s">
        <v>4513</v>
      </c>
      <c r="B408" s="323">
        <f>1/(1+Kp.susp1R*SUSP.w1R/1000+Kp.col1R*COL.w1R/1000)</f>
        <v>0.99828295332028893</v>
      </c>
      <c r="C408" s="317" t="s">
        <v>314</v>
      </c>
    </row>
    <row r="409" spans="1:3" x14ac:dyDescent="0.3">
      <c r="A409" s="317" t="s">
        <v>3060</v>
      </c>
      <c r="B409" s="318">
        <f>1/(1+Kp.susp2A*SUSP.w2A/1000+Kp.col2A*COL.w2A/1000)</f>
        <v>0.99928051802702045</v>
      </c>
      <c r="C409" s="317" t="s">
        <v>314</v>
      </c>
    </row>
    <row r="410" spans="1:3" x14ac:dyDescent="0.3">
      <c r="A410" s="319" t="s">
        <v>2079</v>
      </c>
      <c r="B410" s="323">
        <f>1/(1+Kp.susp2C*SUSP.w2C/1000+Kp.col2C*COL.w2C/1000)</f>
        <v>0.99928051802702045</v>
      </c>
      <c r="C410" s="317" t="s">
        <v>314</v>
      </c>
    </row>
    <row r="411" spans="1:3" x14ac:dyDescent="0.3">
      <c r="A411" s="317" t="s">
        <v>2659</v>
      </c>
      <c r="B411" s="318">
        <f>1/(1+Kp.susp2M*SUSP.w2M/1000+Kp.col2M*COL.w2M/1000)</f>
        <v>0.99928051802702045</v>
      </c>
      <c r="C411" s="317" t="s">
        <v>314</v>
      </c>
    </row>
    <row r="412" spans="1:3" x14ac:dyDescent="0.3">
      <c r="A412" s="319" t="s">
        <v>4514</v>
      </c>
      <c r="B412" s="318">
        <f>1/(1+Kp.susp2R*SUSP.w2R/1000+Kp.col2R*COL.w2R/1000)</f>
        <v>0.99928051802702045</v>
      </c>
      <c r="C412" s="317" t="s">
        <v>314</v>
      </c>
    </row>
    <row r="413" spans="1:3" x14ac:dyDescent="0.3">
      <c r="A413" s="317" t="s">
        <v>3375</v>
      </c>
      <c r="B413" s="323">
        <f>1/(1+Kp.susp2T*SUSP.w2T/1000+Kp.col2T*COL.w2T/1000)</f>
        <v>0.99928051802702045</v>
      </c>
      <c r="C413" s="317" t="s">
        <v>314</v>
      </c>
    </row>
    <row r="414" spans="1:3" x14ac:dyDescent="0.3">
      <c r="A414" s="317" t="s">
        <v>3061</v>
      </c>
      <c r="B414" s="318">
        <f>1/(1+Kp.susp3A*SUSP.w3A/1000+Kp.col3A*COL.w3A/1000)</f>
        <v>0.99928051802702045</v>
      </c>
      <c r="C414" s="317" t="s">
        <v>314</v>
      </c>
    </row>
    <row r="415" spans="1:3" x14ac:dyDescent="0.3">
      <c r="A415" s="317" t="s">
        <v>2661</v>
      </c>
      <c r="B415" s="318">
        <f>1/(1+Kp.susp3M*SUSP.w3M/1000+Kp.col3M*COL.w3M/1000)</f>
        <v>0.99928051802702045</v>
      </c>
      <c r="C415" s="317" t="s">
        <v>314</v>
      </c>
    </row>
    <row r="416" spans="1:3" x14ac:dyDescent="0.3">
      <c r="A416" s="317" t="s">
        <v>3376</v>
      </c>
      <c r="B416" s="323">
        <f>1/(1+Kp.susp3T*SUSP.w3T/1000+Kp.col3T*COL.w3T/1000)</f>
        <v>0.99928051802702045</v>
      </c>
      <c r="C416" s="317" t="s">
        <v>314</v>
      </c>
    </row>
    <row r="417" spans="1:3" ht="14.5" x14ac:dyDescent="0.3">
      <c r="A417" s="317" t="s">
        <v>4515</v>
      </c>
      <c r="B417" s="318">
        <f>FRgas.aA*(MTCas.air.aA*MTCas.soil.sA/(FRorig.s1*MTCas.air.aA*Kaw.A+MTCas.soil.sA))*SYSTEMAREA.A*AREAFRAC.sA</f>
        <v>3.91878335286377E-7</v>
      </c>
      <c r="C417" s="321" t="s">
        <v>1089</v>
      </c>
    </row>
    <row r="418" spans="1:3" ht="14.5" x14ac:dyDescent="0.3">
      <c r="A418" s="317" t="s">
        <v>4516</v>
      </c>
      <c r="B418" s="318">
        <f>FRgas.aA*(MTCaw.air.aA*MTCaw.water.wA/(FRorig.w1*MTCaw.air.aA*Kaw.A+MTCaw.water.wA))*SYSTEMAREA.A*AREAFRAC.wA</f>
        <v>3.6513695475758287E-6</v>
      </c>
      <c r="C418" s="321" t="s">
        <v>1089</v>
      </c>
    </row>
    <row r="419" spans="1:3" ht="14.5" x14ac:dyDescent="0.3">
      <c r="A419" s="317" t="s">
        <v>4517</v>
      </c>
      <c r="B419" s="318">
        <f>FRgas.aC*(MTCas.air.aC*MTCas.soil.sC)/(MTCas.air.aC*((Kaw.C*FRorig.s1w)/Ks1w.C)+MTCas.soil.sC)*(SYSTEMAREA.C*AREAFRAC.s1C)</f>
        <v>4.173995526705262E-4</v>
      </c>
      <c r="C419" s="317" t="s">
        <v>1089</v>
      </c>
    </row>
    <row r="420" spans="1:3" ht="14.5" x14ac:dyDescent="0.3">
      <c r="A420" s="317" t="s">
        <v>4518</v>
      </c>
      <c r="B420" s="318">
        <f>FRgas.aC*(MTCas.air.aC*MTCas.soil.sC)/(MTCas.air.aC*((Kaw.C*FRorig.s2w)/Ks2w.C)+MTCas.soil.sC)*(SYSTEMAREA.C*AREAFRAC.s2C)</f>
        <v>9.2755456149005804E-4</v>
      </c>
      <c r="C420" s="317" t="s">
        <v>1089</v>
      </c>
    </row>
    <row r="421" spans="1:3" ht="14.5" x14ac:dyDescent="0.3">
      <c r="A421" s="317" t="s">
        <v>4519</v>
      </c>
      <c r="B421" s="318">
        <f>FRgas.aC*(MTCas.air.aC*MTCas.soil.sC)/(MTCas.air.aC*((Kaw.C*FRorig.s3w)/Ks3w.C)+MTCas.soil.sC)*(SYSTEMAREA.C*AREAFRAC.s3C)</f>
        <v>1.5459242691500966E-4</v>
      </c>
      <c r="C421" s="317" t="s">
        <v>1089</v>
      </c>
    </row>
    <row r="422" spans="1:3" ht="14.5" x14ac:dyDescent="0.3">
      <c r="A422" s="317" t="s">
        <v>4520</v>
      </c>
      <c r="B422" s="318">
        <f>FRgas.aC*(MTCaw.air.aC*MTCaw.water.wC/(FRorig.w1*MTCaw.air.aC*Kaw.C+MTCaw.water.wC))*SYSTEMAREA.C*AREAFRAC.w0C</f>
        <v>2.4007222579763938E-5</v>
      </c>
      <c r="C422" s="317" t="s">
        <v>1089</v>
      </c>
    </row>
    <row r="423" spans="1:3" ht="14.5" x14ac:dyDescent="0.3">
      <c r="A423" s="317" t="s">
        <v>4521</v>
      </c>
      <c r="B423" s="318">
        <f>FRgas.aC*(MTCaw.air.aC*MTCaw.water.wC/(FRorig.w1*MTCaw.air.aC*Kaw.C+MTCaw.water.wC))*SYSTEMAREA.C*AREAFRAC.w1C</f>
        <v>2.6407944837740331E-4</v>
      </c>
      <c r="C423" s="317" t="s">
        <v>1089</v>
      </c>
    </row>
    <row r="424" spans="1:3" ht="14.5" x14ac:dyDescent="0.3">
      <c r="A424" s="317" t="s">
        <v>4522</v>
      </c>
      <c r="B424" s="318">
        <f>FRgas.aC*(MTCaw.air.aC*MTCaw.water.wC/(FRorig.w2*MTCaw.air.aC*Kaw.C+MTCaw.water.wC))*SYSTEMAREA.C*AREAFRAC.w2C</f>
        <v>1.0229805200459137E-2</v>
      </c>
      <c r="C424" s="317" t="s">
        <v>1089</v>
      </c>
    </row>
    <row r="425" spans="1:3" ht="14.5" x14ac:dyDescent="0.3">
      <c r="A425" s="317" t="s">
        <v>4523</v>
      </c>
      <c r="B425" s="318">
        <f>FRgas.aM*(MTCas.air.aM*MTCas.soil.sM/(FRorig.s1*MTCas.air.aM*Kaw.M+MTCas.soil.sM))*SYSTEMAREA.M*AREAFRAC.sM</f>
        <v>1.7200414601785306E-2</v>
      </c>
      <c r="C425" s="321" t="s">
        <v>1089</v>
      </c>
    </row>
    <row r="426" spans="1:3" ht="14.5" x14ac:dyDescent="0.3">
      <c r="A426" s="317" t="s">
        <v>4524</v>
      </c>
      <c r="B426" s="318">
        <f>FRgas.aM*(MTCaw.air.aM*MTCaw.water.wM/(FRorig.w1*MTCaw.air.aM*Kaw.M+MTCaw.water.wM))*SYSTEMAREA.M*AREAFRAC.wM</f>
        <v>0.10684762261233635</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6.6546737977852433E-2</v>
      </c>
      <c r="C433" s="321" t="s">
        <v>1089</v>
      </c>
    </row>
    <row r="434" spans="1:3" ht="14.5" x14ac:dyDescent="0.3">
      <c r="A434" s="317" t="s">
        <v>4532</v>
      </c>
      <c r="B434" s="318">
        <f>FRgas.aT*(MTCaw.air.aT*MTCaw.water.wT/(FRorig.w1*MTCaw.air.aT*Kaw.T+MTCaw.water.wT))*SYSTEMAREA.T*AREAFRAC.wT</f>
        <v>0.97463839489055026</v>
      </c>
      <c r="C434" s="321" t="s">
        <v>1089</v>
      </c>
    </row>
    <row r="435" spans="1:3" ht="14.5" x14ac:dyDescent="0.3">
      <c r="A435" s="317" t="s">
        <v>3095</v>
      </c>
      <c r="B435" s="318">
        <f>FRgas.aA*(tdry.A+twet.A)/twet.A*RAINrate.A/((Kaw.A*FRorig.cldw)+0.0000000555)</f>
        <v>5.2375767251035293E-17</v>
      </c>
      <c r="C435" s="319" t="s">
        <v>1226</v>
      </c>
    </row>
    <row r="436" spans="1:3" ht="14.5" x14ac:dyDescent="0.3">
      <c r="A436" s="317" t="s">
        <v>2149</v>
      </c>
      <c r="B436" s="318">
        <f>FRgas.aC*(tdry.C+twet.C)/twet.C*RAINrate.C/((Kaw.C*FRorig.cldw)+0.0000000555)</f>
        <v>2.8214170191580335E-12</v>
      </c>
      <c r="C436" s="319" t="s">
        <v>1226</v>
      </c>
    </row>
    <row r="437" spans="1:3" ht="14.5" x14ac:dyDescent="0.3">
      <c r="A437" s="317" t="s">
        <v>2718</v>
      </c>
      <c r="B437" s="318">
        <f>FRgas.aM*(tdry.M+twet.M)/twet.M*RAINrate.M/((Kaw.M*FRorig.cldw)+0.0000000555)</f>
        <v>2.8214170191580335E-12</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380.93506746535149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3.663258818281463E-10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3.663258818281463E-10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3.663258818281463E-10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3.663258818281463E-10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3.663258818281463E-10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3.1465974921184265E-11</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4.6941418162982244E-9</v>
      </c>
      <c r="C488" s="317" t="s">
        <v>642</v>
      </c>
    </row>
    <row r="489" spans="1:3" ht="14.5" x14ac:dyDescent="0.3">
      <c r="A489" s="317" t="s">
        <v>4560</v>
      </c>
      <c r="B489" s="318">
        <f>Tempfactor.wsdsR*kdeg.soil+FRACinf.s1R*RAINrate.R/Ks1w.R*CORRleach.s1R*SYSTEMAREA.R*AREAFRAC.s1R/VOLUME.s1R</f>
        <v>3.1465974921184272E-11</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4.6941418162982244E-9</v>
      </c>
      <c r="C491" s="317" t="s">
        <v>642</v>
      </c>
    </row>
    <row r="492" spans="1:3" ht="14.5" x14ac:dyDescent="0.3">
      <c r="A492" s="317" t="s">
        <v>2222</v>
      </c>
      <c r="B492" s="318">
        <f>Tempfactor.wsdsC*kdeg.soil+FRACinf.s2C*RAINrate.C/Ks2w.C*CORRleach.s2C*SYSTEMAREA.C*AREAFRAC.s2C/VOLUME.s2C</f>
        <v>1.4318725114625947E-11</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2.1360891081434388E-9</v>
      </c>
      <c r="C494" s="317" t="s">
        <v>642</v>
      </c>
    </row>
    <row r="495" spans="1:3" ht="14.5" x14ac:dyDescent="0.3">
      <c r="A495" s="317" t="s">
        <v>4565</v>
      </c>
      <c r="B495" s="318">
        <f>Tempfactor.wsdsR*kdeg.soil+FRACinf.s2R*RAINrate.R/Ks2w.R*CORRleach.s2R*SYSTEMAREA.R*AREAFRAC.s2R/VOLUME.s2R</f>
        <v>1.4318725114625947E-11</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2.1360891081434384E-9</v>
      </c>
      <c r="C497" s="317" t="s">
        <v>642</v>
      </c>
    </row>
    <row r="498" spans="1:3" ht="14.5" x14ac:dyDescent="0.3">
      <c r="A498" s="317" t="s">
        <v>2223</v>
      </c>
      <c r="B498" s="318">
        <f>Tempfactor.wsdsC*kdeg.soil+FRACinf.s3C*RAINrate.C/Ks3w.C*CORRleach.s3C*SYSTEMAREA.C*AREAFRAC.s3C/VOLUME.s3C</f>
        <v>3.1465974921184272E-11</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4.6941418162982244E-9</v>
      </c>
      <c r="C500" s="317" t="s">
        <v>642</v>
      </c>
    </row>
    <row r="501" spans="1:3" ht="14.5" x14ac:dyDescent="0.3">
      <c r="A501" s="317" t="s">
        <v>4570</v>
      </c>
      <c r="B501" s="318">
        <f>Tempfactor.wsdsR*kdeg.soil+FRACinf.s3R*RAINrate.R/Ks3w.R*CORRleach.s3R*SYSTEMAREA.R*AREAFRAC.s3R/VOLUME.s3R</f>
        <v>3.1465974921184272E-11</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4.6941418162982244E-9</v>
      </c>
      <c r="C503" s="317" t="s">
        <v>642</v>
      </c>
    </row>
    <row r="504" spans="1:3" ht="14.5" x14ac:dyDescent="0.3">
      <c r="A504" s="317" t="s">
        <v>4573</v>
      </c>
      <c r="B504" s="318">
        <f>Tempfactor.wsdsA*kdeg.soil+FRACinf.sA*RAINrate.A/Kslw.A*CORRleach.sA*SYSTEMAREA.A*AREAFRAC.sA/VOLUME.sA</f>
        <v>1.1237848185570673E-11</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1.6920216252100849E-9</v>
      </c>
      <c r="C506" s="317" t="s">
        <v>642</v>
      </c>
    </row>
    <row r="507" spans="1:3" ht="14.5" x14ac:dyDescent="0.3">
      <c r="A507" s="317" t="s">
        <v>2219</v>
      </c>
      <c r="B507" s="318">
        <f>Tempfactor.wsdsC*kdeg.sed+NETsedrate.w1C*SYSTEMAREA.C*AREAFRAC.w1C/VOLUME.sd1C</f>
        <v>2.8742283951576204E-9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2.8953682563883014E-9</v>
      </c>
      <c r="C509" s="317" t="s">
        <v>642</v>
      </c>
    </row>
    <row r="510" spans="1:3" ht="14.5" x14ac:dyDescent="0.3">
      <c r="A510" s="317" t="s">
        <v>4578</v>
      </c>
      <c r="B510" s="318">
        <f>(RESUSPflow.sd1R.w1R+DESORBflow.sd1R.w1R)/VOLUME.sd1R</f>
        <v>9.8718375760761382E-18</v>
      </c>
      <c r="C510" s="317" t="s">
        <v>642</v>
      </c>
    </row>
    <row r="511" spans="1:3" ht="14.5" x14ac:dyDescent="0.3">
      <c r="A511" s="317" t="s">
        <v>2220</v>
      </c>
      <c r="B511" s="318">
        <f>Tempfactor.wsdsC*kdeg.sed+NETsedrate.w2C*SYSTEMAREA.C*AREAFRAC.w2C/VOLUME.sd2C</f>
        <v>9.1333333333739474E-10</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9.1429324159056473E-10</v>
      </c>
      <c r="C513" s="317" t="s">
        <v>642</v>
      </c>
    </row>
    <row r="514" spans="1:3" ht="14.5" x14ac:dyDescent="0.3">
      <c r="A514" s="317" t="s">
        <v>4581</v>
      </c>
      <c r="B514" s="318">
        <f>(RESUSPflow.sd2R.w2R+DESORBflow.sd2R.w2R)/VOLUME.sd2R</f>
        <v>4.4425291563015637E-17</v>
      </c>
      <c r="C514" s="317" t="s">
        <v>642</v>
      </c>
    </row>
    <row r="515" spans="1:3" ht="14.5" x14ac:dyDescent="0.3">
      <c r="A515" s="317" t="s">
        <v>4582</v>
      </c>
      <c r="B515" s="318">
        <f>Tempfactor.wsdsA*kdeg.sed+NETsedrate.wA*SYSTEMAREA.A*AREAFRAC.wA/VOLUME.sdA</f>
        <v>2.1139861331348332E-12</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2.9839343187174201E-12</v>
      </c>
      <c r="C517" s="317" t="s">
        <v>642</v>
      </c>
    </row>
    <row r="518" spans="1:3" ht="14.5" x14ac:dyDescent="0.3">
      <c r="A518" s="317" t="s">
        <v>4585</v>
      </c>
      <c r="B518" s="318">
        <f>(RESUSPflow.sdM.w3M+DESORBflow.sdM.w3M)/VOLUME.sdM</f>
        <v>1.1689032156088774E-21</v>
      </c>
      <c r="C518" s="317" t="s">
        <v>642</v>
      </c>
    </row>
    <row r="519" spans="1:3" ht="14.5" x14ac:dyDescent="0.3">
      <c r="A519" s="317" t="s">
        <v>4586</v>
      </c>
      <c r="B519" s="318">
        <f>Tempfactor.wsdsT*kdeg.sed+NETsedrate.wT*SYSTEMAREA.T*AREAFRAC.wT/VOLUME.sdT</f>
        <v>2.1139861422509831E-12</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3.1465974921184272E-11</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4.6941418162982244E-9</v>
      </c>
      <c r="C523" s="317" t="s">
        <v>642</v>
      </c>
    </row>
    <row r="524" spans="1:3" ht="14.5" x14ac:dyDescent="0.3">
      <c r="A524" s="317" t="s">
        <v>4591</v>
      </c>
      <c r="B524" s="318">
        <f>Tempfactor.wsdsT*kdeg.soil+FRACinf.sT*RAINrate.T/Kslw.T*CORRleach.sT*SYSTEMAREA.T*AREAFRAC.sT/VOLUME.sT</f>
        <v>5.8436810570371303E-11</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8.6969687377490755E-9</v>
      </c>
      <c r="C526" s="317" t="s">
        <v>642</v>
      </c>
    </row>
    <row r="527" spans="1:3" ht="14.5" x14ac:dyDescent="0.3">
      <c r="A527" s="317" t="s">
        <v>2215</v>
      </c>
      <c r="B527" s="318">
        <f>kdeg.water*Tempfactor.wsdsC*(BACT.w0C/BACT.test)*FRw.w0C</f>
        <v>4.0601657370321782E-21</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4.0542886053799232E-21</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4.1340978113776672E-18</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8.8324753825564025E-22</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4.0583399769977389E-21</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4.0583399769977389E-21</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4.8645427583599312E-18</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9.9928051802702038E-21</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8.8324753825564025E-22</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4.0583399769977389E-21</v>
      </c>
      <c r="C573" s="317" t="s">
        <v>642</v>
      </c>
    </row>
    <row r="574" spans="1:3" ht="14.5" x14ac:dyDescent="0.3">
      <c r="A574" s="317" t="s">
        <v>4616</v>
      </c>
      <c r="B574" s="318">
        <f>(SEDflow.w3M.sdM+ADSORBflow.w3M.sdM)/VOLUME.w3M</f>
        <v>4.1807131277019266E-25</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9.9928051802702038E-21</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3.9698089464129487E+28</v>
      </c>
      <c r="C588" s="321" t="s">
        <v>1112</v>
      </c>
    </row>
    <row r="589" spans="1:3" ht="15" x14ac:dyDescent="0.3">
      <c r="A589" s="321" t="s">
        <v>2065</v>
      </c>
      <c r="B589" s="323">
        <f>1/(Kaw.C*FRorig.aerw)</f>
        <v>8.8412629829224543E+22</v>
      </c>
      <c r="C589" s="321" t="s">
        <v>1112</v>
      </c>
    </row>
    <row r="590" spans="1:3" ht="15" x14ac:dyDescent="0.3">
      <c r="A590" s="321" t="s">
        <v>2654</v>
      </c>
      <c r="B590" s="323">
        <f>1/(Kaw.M*FRorig.aerw)</f>
        <v>8.8412629829224543E+22</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2.5190129134642182E-29</v>
      </c>
      <c r="C594" s="317" t="s">
        <v>314</v>
      </c>
    </row>
    <row r="595" spans="1:3" x14ac:dyDescent="0.3">
      <c r="A595" s="317" t="s">
        <v>2063</v>
      </c>
      <c r="B595" s="323">
        <f>Kaw*EXP((H0vap/8.314)*(1/298-1/TEMP.C))*EXP(-(H0sol/8.314)*(1/298-1/TEMP.C))*(298/TEMP.C)</f>
        <v>1.1310601233461476E-23</v>
      </c>
      <c r="C595" s="317" t="s">
        <v>314</v>
      </c>
    </row>
    <row r="596" spans="1:3" x14ac:dyDescent="0.3">
      <c r="A596" s="317" t="s">
        <v>2651</v>
      </c>
      <c r="B596" s="318">
        <f>Kaw*EXP((H0vap/8.314)*(1/298-1/TEMP.M))*EXP(-(H0sol/8.314)*(1/298-1/TEMP.M))*(298/TEMP.M)</f>
        <v>1.1310601233461476E-23</v>
      </c>
      <c r="C596" s="317" t="s">
        <v>314</v>
      </c>
    </row>
    <row r="597" spans="1:3" ht="15" x14ac:dyDescent="0.3">
      <c r="A597" s="321" t="s">
        <v>4619</v>
      </c>
      <c r="B597" s="323">
        <f>Kaw*EXP((H0vap/8.314)*(1/298-1/TEMP.R))*EXP(-(H0sol/8.314)*(1/298-1/TEMP.R))*(298/TEMP.R)</f>
        <v>1.1310601233461476E-23</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3.9698089464129487E+28</v>
      </c>
      <c r="C599" s="321" t="s">
        <v>4621</v>
      </c>
    </row>
    <row r="600" spans="1:3" ht="15" x14ac:dyDescent="0.3">
      <c r="A600" s="321" t="s">
        <v>4622</v>
      </c>
      <c r="B600" s="323">
        <f>1/(Kaw.C*FRorig.cldw)</f>
        <v>8.8412629829224543E+22</v>
      </c>
      <c r="C600" s="321" t="s">
        <v>4621</v>
      </c>
    </row>
    <row r="601" spans="1:3" ht="15" x14ac:dyDescent="0.3">
      <c r="A601" s="321" t="s">
        <v>4623</v>
      </c>
      <c r="B601" s="323">
        <f>1/(Kaw.M*FRorig.cldw)</f>
        <v>8.8412629829224543E+22</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1.6554438992186728E-37</v>
      </c>
      <c r="C604" s="317" t="s">
        <v>642</v>
      </c>
    </row>
    <row r="605" spans="1:3" ht="14.5" x14ac:dyDescent="0.3">
      <c r="A605" s="317" t="s">
        <v>2225</v>
      </c>
      <c r="B605" s="318">
        <f>FRgas.aC*kdegG.air*(C.OHrad.aC/C.OHrad)*Tempfactor.aC</f>
        <v>3.8083662994282794E-33</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3.8083662994282794E-33</v>
      </c>
      <c r="C607" s="317" t="s">
        <v>642</v>
      </c>
    </row>
    <row r="608" spans="1:3" ht="14.5" x14ac:dyDescent="0.3">
      <c r="A608" s="317" t="s">
        <v>1375</v>
      </c>
      <c r="B608" s="318">
        <f>FRgas.aR*kdegG.air*(C.OHrad.aR/C.OHrad)*Tempfactor.aR</f>
        <v>3.8083662994282794E-33</v>
      </c>
      <c r="C608" s="317" t="s">
        <v>642</v>
      </c>
    </row>
    <row r="609" spans="1:3" ht="14.5" x14ac:dyDescent="0.3">
      <c r="A609" s="317" t="s">
        <v>3443</v>
      </c>
      <c r="B609" s="318">
        <f>FRgas.aT*kdegG.air*(C.OHrad.aT/C.OHrad)*Tempfactor.aT</f>
        <v>1.6778800571159991E-32</v>
      </c>
      <c r="C609" s="317" t="s">
        <v>642</v>
      </c>
    </row>
    <row r="610" spans="1:3" ht="14.5" x14ac:dyDescent="0.3">
      <c r="A610" s="317" t="s">
        <v>2241</v>
      </c>
      <c r="B610" s="323">
        <f>Tempfactor.wsdsC*kdeg.soil</f>
        <v>4.0612619817811774E-21</v>
      </c>
      <c r="C610" s="317" t="s">
        <v>642</v>
      </c>
    </row>
    <row r="611" spans="1:3" ht="14.5" x14ac:dyDescent="0.3">
      <c r="A611" s="317" t="s">
        <v>1404</v>
      </c>
      <c r="B611" s="318">
        <f>Tempfactor.wsdsR*kdeg.soil</f>
        <v>4.0612619817811774E-21</v>
      </c>
      <c r="C611" s="317" t="s">
        <v>642</v>
      </c>
    </row>
    <row r="612" spans="1:3" ht="14.5" x14ac:dyDescent="0.3">
      <c r="A612" s="317" t="s">
        <v>2242</v>
      </c>
      <c r="B612" s="323">
        <f>Tempfactor.wsdsC*kdeg.soil</f>
        <v>4.0612619817811774E-21</v>
      </c>
      <c r="C612" s="317" t="s">
        <v>642</v>
      </c>
    </row>
    <row r="613" spans="1:3" ht="14.5" x14ac:dyDescent="0.3">
      <c r="A613" s="317" t="s">
        <v>1406</v>
      </c>
      <c r="B613" s="318">
        <f>Tempfactor.wsdsR*kdeg.soil</f>
        <v>4.0612619817811774E-21</v>
      </c>
      <c r="C613" s="317" t="s">
        <v>642</v>
      </c>
    </row>
    <row r="614" spans="1:3" ht="14.5" x14ac:dyDescent="0.3">
      <c r="A614" s="317" t="s">
        <v>2243</v>
      </c>
      <c r="B614" s="323">
        <f>Tempfactor.wsdsC*kdeg.soil</f>
        <v>4.0612619817811774E-21</v>
      </c>
      <c r="C614" s="317" t="s">
        <v>642</v>
      </c>
    </row>
    <row r="615" spans="1:3" ht="14.5" x14ac:dyDescent="0.3">
      <c r="A615" s="317" t="s">
        <v>1408</v>
      </c>
      <c r="B615" s="318">
        <f>Tempfactor.wsdsR*kdeg.soil</f>
        <v>4.0612619817811774E-21</v>
      </c>
      <c r="C615" s="317" t="s">
        <v>642</v>
      </c>
    </row>
    <row r="616" spans="1:3" ht="14.5" x14ac:dyDescent="0.3">
      <c r="A616" s="317" t="s">
        <v>3144</v>
      </c>
      <c r="B616" s="323">
        <f>Tempfactor.wsdsA*kdeg.soil</f>
        <v>8.8388347648318438E-22</v>
      </c>
      <c r="C616" s="317" t="s">
        <v>642</v>
      </c>
    </row>
    <row r="617" spans="1:3" ht="14.5" x14ac:dyDescent="0.3">
      <c r="A617" s="317" t="s">
        <v>2239</v>
      </c>
      <c r="B617" s="323">
        <f>Tempfactor.wsdsC*kdeg.sed</f>
        <v>4.0612619817811774E-21</v>
      </c>
      <c r="C617" s="317" t="s">
        <v>642</v>
      </c>
    </row>
    <row r="618" spans="1:3" ht="14.5" x14ac:dyDescent="0.3">
      <c r="A618" s="317" t="s">
        <v>1400</v>
      </c>
      <c r="B618" s="318">
        <f>Tempfactor.wsdsR*kdeg.sed</f>
        <v>4.0612619817811774E-21</v>
      </c>
      <c r="C618" s="317" t="s">
        <v>642</v>
      </c>
    </row>
    <row r="619" spans="1:3" ht="14.5" x14ac:dyDescent="0.3">
      <c r="A619" s="317" t="s">
        <v>2240</v>
      </c>
      <c r="B619" s="323">
        <f>Tempfactor.wsdsC*kdeg.sed</f>
        <v>4.0612619817811774E-21</v>
      </c>
      <c r="C619" s="317" t="s">
        <v>642</v>
      </c>
    </row>
    <row r="620" spans="1:3" ht="14.5" x14ac:dyDescent="0.3">
      <c r="A620" s="317" t="s">
        <v>1402</v>
      </c>
      <c r="B620" s="318">
        <f>Tempfactor.wsdsR*kdeg.sed</f>
        <v>4.0612619817811774E-21</v>
      </c>
      <c r="C620" s="317" t="s">
        <v>642</v>
      </c>
    </row>
    <row r="621" spans="1:3" ht="14.5" x14ac:dyDescent="0.3">
      <c r="A621" s="317" t="s">
        <v>3143</v>
      </c>
      <c r="B621" s="323">
        <f>Tempfactor.wsdsA*kdeg.sed</f>
        <v>8.8388347648318438E-22</v>
      </c>
      <c r="C621" s="317" t="s">
        <v>642</v>
      </c>
    </row>
    <row r="622" spans="1:3" ht="14.5" x14ac:dyDescent="0.3">
      <c r="A622" s="317" t="s">
        <v>2789</v>
      </c>
      <c r="B622" s="318">
        <f>Tempfactor.wsdsM*kdeg.sed</f>
        <v>4.0612619817811774E-21</v>
      </c>
      <c r="C622" s="317" t="s">
        <v>642</v>
      </c>
    </row>
    <row r="623" spans="1:3" ht="14.5" x14ac:dyDescent="0.3">
      <c r="A623" s="317" t="s">
        <v>3452</v>
      </c>
      <c r="B623" s="318">
        <f>Tempfactor.wsdsT*kdeg.sed</f>
        <v>9.9999999999999995E-21</v>
      </c>
      <c r="C623" s="317" t="s">
        <v>642</v>
      </c>
    </row>
    <row r="624" spans="1:3" ht="91" x14ac:dyDescent="0.3">
      <c r="A624" s="319" t="s">
        <v>4626</v>
      </c>
      <c r="B624" s="326" t="s">
        <v>4627</v>
      </c>
      <c r="C624" s="317" t="s">
        <v>642</v>
      </c>
    </row>
    <row r="625" spans="1:3" ht="14.5" x14ac:dyDescent="0.3">
      <c r="A625" s="317" t="s">
        <v>2791</v>
      </c>
      <c r="B625" s="318">
        <f>Tempfactor.wsdsM*kdeg.soil</f>
        <v>4.0612619817811774E-21</v>
      </c>
      <c r="C625" s="317" t="s">
        <v>642</v>
      </c>
    </row>
    <row r="626" spans="1:3" ht="91" x14ac:dyDescent="0.3">
      <c r="A626" s="319" t="s">
        <v>4628</v>
      </c>
      <c r="B626" s="326" t="s">
        <v>4629</v>
      </c>
      <c r="C626" s="317" t="s">
        <v>642</v>
      </c>
    </row>
    <row r="627" spans="1:3" ht="14.5" x14ac:dyDescent="0.3">
      <c r="A627" s="317" t="s">
        <v>3453</v>
      </c>
      <c r="B627" s="318">
        <f>Tempfactor.wsdsT*kdeg.soil</f>
        <v>9.9999999999999995E-21</v>
      </c>
      <c r="C627" s="317" t="s">
        <v>642</v>
      </c>
    </row>
    <row r="628" spans="1:3" ht="14.5" x14ac:dyDescent="0.3">
      <c r="A628" s="317" t="s">
        <v>2230</v>
      </c>
      <c r="B628" s="318">
        <f>kdeg.water*Tempfactor.wsdsC*(BACT.w0C/BACT.test)*FRw.w0C</f>
        <v>4.0601657370321782E-21</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4.0542886053799232E-21</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8.8324753825564025E-22</v>
      </c>
      <c r="C632" s="317" t="s">
        <v>642</v>
      </c>
    </row>
    <row r="633" spans="1:3" ht="14.5" x14ac:dyDescent="0.3">
      <c r="A633" s="317" t="s">
        <v>2232</v>
      </c>
      <c r="B633" s="318">
        <f>kdeg.water*Tempfactor.wsdsC*(BACT.w2C/BACT.test)*FRw.w2C</f>
        <v>4.0583399769977389E-21</v>
      </c>
      <c r="C633" s="317" t="s">
        <v>642</v>
      </c>
    </row>
    <row r="634" spans="1:3" ht="14.5" x14ac:dyDescent="0.3">
      <c r="A634" s="317" t="s">
        <v>2780</v>
      </c>
      <c r="B634" s="318">
        <f>kdeg.water*Tempfactor.wsdsM*(BACT.w2M/BACT.test)*FRw.w2M</f>
        <v>4.0583399769977389E-21</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9.9928051802702038E-21</v>
      </c>
      <c r="C636" s="317" t="s">
        <v>642</v>
      </c>
    </row>
    <row r="637" spans="1:3" ht="14.5" x14ac:dyDescent="0.3">
      <c r="A637" s="317" t="s">
        <v>3138</v>
      </c>
      <c r="B637" s="323">
        <f>kdeg.water*Tempfactor.wsdsA*(BACT.w3A/BACT.test)*FRw.w3A</f>
        <v>8.8324753825564025E-22</v>
      </c>
      <c r="C637" s="317" t="s">
        <v>642</v>
      </c>
    </row>
    <row r="638" spans="1:3" ht="14.5" x14ac:dyDescent="0.3">
      <c r="A638" s="317" t="s">
        <v>2782</v>
      </c>
      <c r="B638" s="318">
        <f>kdeg.water*Tempfactor.wsdsM*(BACT.w3M/BACT.test)*FRw.w3M</f>
        <v>4.0583399769977389E-21</v>
      </c>
      <c r="C638" s="317" t="s">
        <v>642</v>
      </c>
    </row>
    <row r="639" spans="1:3" ht="14.5" x14ac:dyDescent="0.3">
      <c r="A639" s="317" t="s">
        <v>3448</v>
      </c>
      <c r="B639" s="318">
        <f>kdeg.water*Tempfactor.wsdsT*(BACT.w3T/BACT.test)*FRw.w3T</f>
        <v>9.9928051802702038E-21</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20</v>
      </c>
      <c r="C675" s="317" t="s">
        <v>1127</v>
      </c>
    </row>
    <row r="676" spans="1:3" ht="14.5" x14ac:dyDescent="0.3">
      <c r="A676" s="319" t="s">
        <v>1163</v>
      </c>
      <c r="B676" s="318">
        <f>(FRorig.s1*Ksw+(1-FRorig.s1)*Ksw.alt)*(1000/RHOsolid/CORG)*CORG.s1R</f>
        <v>20</v>
      </c>
      <c r="C676" s="317" t="s">
        <v>1121</v>
      </c>
    </row>
    <row r="677" spans="1:3" x14ac:dyDescent="0.3">
      <c r="A677" s="319" t="s">
        <v>2104</v>
      </c>
      <c r="B677" s="318">
        <f>(FRorig.s2*Ksw+(1-FRorig.s2)*Ksw.alt)*(1000/RHOsolid/CORG)*CORG.s2C</f>
        <v>20</v>
      </c>
      <c r="C677" s="317" t="s">
        <v>1127</v>
      </c>
    </row>
    <row r="678" spans="1:3" ht="14.5" x14ac:dyDescent="0.3">
      <c r="A678" s="319" t="s">
        <v>1173</v>
      </c>
      <c r="B678" s="318">
        <f>(FRorig.s2*Ksw+(1-FRorig.s2)*Ksw.alt)*(1000/RHOsolid/CORG)*CORG.s2R</f>
        <v>20</v>
      </c>
      <c r="C678" s="317" t="s">
        <v>1121</v>
      </c>
    </row>
    <row r="679" spans="1:3" x14ac:dyDescent="0.3">
      <c r="A679" s="319" t="s">
        <v>2111</v>
      </c>
      <c r="B679" s="318">
        <f>(FRorig.s2*Ksw+(1-FRorig.s2)*Ksw.alt)*(1000/RHOsolid/CORG)*CORG.s3C</f>
        <v>20</v>
      </c>
      <c r="C679" s="317" t="s">
        <v>1127</v>
      </c>
    </row>
    <row r="680" spans="1:3" ht="14.5" x14ac:dyDescent="0.3">
      <c r="A680" s="319" t="s">
        <v>1183</v>
      </c>
      <c r="B680" s="318">
        <f>(FRorig.s3*Ksw+(1-FRorig.s3)*Ksw.alt)*(1000/RHOsolid/CORG)*CORG.s3R</f>
        <v>20</v>
      </c>
      <c r="C680" s="317" t="s">
        <v>1121</v>
      </c>
    </row>
    <row r="681" spans="1:3" ht="14.5" x14ac:dyDescent="0.3">
      <c r="A681" s="319" t="s">
        <v>3078</v>
      </c>
      <c r="B681" s="318">
        <f>(FRorig.s1*Ksw+(1-FRorig.s1)*Ksw.alt)*(1000/RHOsolid/CORG)*CORG.sA</f>
        <v>20</v>
      </c>
      <c r="C681" s="317" t="s">
        <v>1121</v>
      </c>
    </row>
    <row r="682" spans="1:3" x14ac:dyDescent="0.3">
      <c r="A682" s="319" t="s">
        <v>2087</v>
      </c>
      <c r="B682" s="318">
        <f>(FRorig.sd1*Ksw+(1-FRorig.sd1)*Ksw.alt)*(1000/RHOsolid/CORG)*CORG.sd1C</f>
        <v>50</v>
      </c>
      <c r="C682" s="317" t="s">
        <v>1127</v>
      </c>
    </row>
    <row r="683" spans="1:3" ht="14.5" x14ac:dyDescent="0.3">
      <c r="A683" s="319" t="s">
        <v>1147</v>
      </c>
      <c r="B683" s="318">
        <f>(FRorig.sd1*Ksw+(1-FRorig.sd1)*Ksw.alt)*(1000/RHOsolid/CORG)*CORG.sd1R</f>
        <v>50</v>
      </c>
      <c r="C683" s="317" t="s">
        <v>1121</v>
      </c>
    </row>
    <row r="684" spans="1:3" x14ac:dyDescent="0.3">
      <c r="A684" s="319" t="s">
        <v>2090</v>
      </c>
      <c r="B684" s="318">
        <f>(FRorig.sd2*Ksw+(1-FRorig.sd2)*Ksw.alt)*(1000/RHOsolid/CORG)*CORG.sd2C</f>
        <v>50</v>
      </c>
      <c r="C684" s="317" t="s">
        <v>1127</v>
      </c>
    </row>
    <row r="685" spans="1:3" ht="14.5" x14ac:dyDescent="0.3">
      <c r="A685" s="319" t="s">
        <v>1153</v>
      </c>
      <c r="B685" s="318">
        <f>(FRorig.sd2*Ksw+(1-FRorig.sd2)*Ksw.alt)*(1000/RHOsolid/CORG)*CORG.sd2R</f>
        <v>50</v>
      </c>
      <c r="C685" s="317" t="s">
        <v>1121</v>
      </c>
    </row>
    <row r="686" spans="1:3" ht="14.5" x14ac:dyDescent="0.3">
      <c r="A686" s="319" t="s">
        <v>3073</v>
      </c>
      <c r="B686" s="318">
        <f>(FRorig.sd2*Ksw+(1-FRorig.sd2)*Ksw.alt)*(1000/RHOsolid/CORG)*CORG.sdA</f>
        <v>50</v>
      </c>
      <c r="C686" s="317" t="s">
        <v>1121</v>
      </c>
    </row>
    <row r="687" spans="1:3" ht="14.5" x14ac:dyDescent="0.3">
      <c r="A687" s="319" t="s">
        <v>2685</v>
      </c>
      <c r="B687" s="318">
        <f>(FRorig.sd2*Ksw+(1-FRorig.sd2)*Ksw.alt)*(1000/RHOsolid/CORG)*CORG.sdM</f>
        <v>50</v>
      </c>
      <c r="C687" s="317" t="s">
        <v>1121</v>
      </c>
    </row>
    <row r="688" spans="1:3" ht="14.5" x14ac:dyDescent="0.3">
      <c r="A688" s="319" t="s">
        <v>3388</v>
      </c>
      <c r="B688" s="318">
        <f>(FRorig.sd2*Ksw+(1-FRorig.sd2)*Ksw.alt)*(1000/RHOsolid/CORG)*CORG.sdT</f>
        <v>50</v>
      </c>
      <c r="C688" s="317" t="s">
        <v>1121</v>
      </c>
    </row>
    <row r="689" spans="1:3" ht="14.5" x14ac:dyDescent="0.3">
      <c r="A689" s="319" t="s">
        <v>2695</v>
      </c>
      <c r="B689" s="318">
        <f>(FRorig.s1*Ksw+(1-FRorig.s1)*Ksw.alt)*(1000/RHOsolid/CORG)*CORG.sM</f>
        <v>20</v>
      </c>
      <c r="C689" s="317" t="s">
        <v>1121</v>
      </c>
    </row>
    <row r="690" spans="1:3" ht="14.5" x14ac:dyDescent="0.3">
      <c r="A690" s="319" t="s">
        <v>3393</v>
      </c>
      <c r="B690" s="318">
        <f>(FRorig.s1*Ksw+(1-FRorig.s1)*Ksw.alt)*(1000/RHOsolid/CORG)*CORG.sT</f>
        <v>20</v>
      </c>
      <c r="C690" s="317" t="s">
        <v>1121</v>
      </c>
    </row>
    <row r="691" spans="1:3" ht="14.5" x14ac:dyDescent="0.3">
      <c r="A691" s="319" t="s">
        <v>2070</v>
      </c>
      <c r="B691" s="318">
        <f>(FRorig.w1*Ksw+(1-FRorig.w1)*Ksw.alt)*(1000/RHOsolid/CORG)*CORG.susp0C</f>
        <v>100</v>
      </c>
      <c r="C691" s="317" t="s">
        <v>1121</v>
      </c>
    </row>
    <row r="692" spans="1:3" ht="14.5" x14ac:dyDescent="0.3">
      <c r="A692" s="319" t="s">
        <v>1120</v>
      </c>
      <c r="B692" s="318">
        <f>(FRorig.w1*Ksw+(1-FRorig.w1)*Ksw.alt)*(1000/RHOsolid/CORG)*CORG.susp0R</f>
        <v>100</v>
      </c>
      <c r="C692" s="317" t="s">
        <v>1121</v>
      </c>
    </row>
    <row r="693" spans="1:3" x14ac:dyDescent="0.3">
      <c r="A693" s="319" t="s">
        <v>2075</v>
      </c>
      <c r="B693" s="318">
        <f>(FRorig.w1*Ksw+(1-FRorig.w1)*Ksw.alt)*(1000/RHOsolid/CORG)*CORG.susp1C</f>
        <v>100</v>
      </c>
      <c r="C693" s="317" t="s">
        <v>1127</v>
      </c>
    </row>
    <row r="694" spans="1:3" ht="14.5" x14ac:dyDescent="0.3">
      <c r="A694" s="319" t="s">
        <v>1130</v>
      </c>
      <c r="B694" s="318">
        <f>(FRorig.w1*Ksw+(1-FRorig.w1)*Ksw.alt)*(1000/RHOsolid/CORG)*CORG.susp1R</f>
        <v>100</v>
      </c>
      <c r="C694" s="317" t="s">
        <v>1121</v>
      </c>
    </row>
    <row r="695" spans="1:3" ht="14.5" x14ac:dyDescent="0.3">
      <c r="A695" s="319" t="s">
        <v>3062</v>
      </c>
      <c r="B695" s="318">
        <f>(FRorig.w2*Ksw+(1-FRorig.w2)*Ksw.alt)*(1000/RHOsolid/CORG)*CORG.susp2A</f>
        <v>100</v>
      </c>
      <c r="C695" s="317" t="s">
        <v>1121</v>
      </c>
    </row>
    <row r="696" spans="1:3" x14ac:dyDescent="0.3">
      <c r="A696" s="319" t="s">
        <v>2080</v>
      </c>
      <c r="B696" s="318">
        <f>(FRorig.w2*Ksw+(1-FRorig.w2)*Ksw.alt)*(1000/RHOsolid/CORG)*CORG.susp2C</f>
        <v>100</v>
      </c>
      <c r="C696" s="317" t="s">
        <v>1127</v>
      </c>
    </row>
    <row r="697" spans="1:3" ht="14.5" x14ac:dyDescent="0.3">
      <c r="A697" s="319" t="s">
        <v>2663</v>
      </c>
      <c r="B697" s="318">
        <f>(FRorig.w2*Ksw+(1-FRorig.w2)*Ksw.alt)*(1000/RHOsolid/CORG)*CORG.susp2M</f>
        <v>100</v>
      </c>
      <c r="C697" s="317" t="s">
        <v>1121</v>
      </c>
    </row>
    <row r="698" spans="1:3" ht="14.5" x14ac:dyDescent="0.3">
      <c r="A698" s="319" t="s">
        <v>1135</v>
      </c>
      <c r="B698" s="318">
        <f>(FRorig.w2*Ksw+(1-FRorig.w2)*Ksw.alt)*(1000/RHOsolid/CORG)*CORG.susp2R</f>
        <v>100</v>
      </c>
      <c r="C698" s="317" t="s">
        <v>1121</v>
      </c>
    </row>
    <row r="699" spans="1:3" ht="14.5" x14ac:dyDescent="0.3">
      <c r="A699" s="319" t="s">
        <v>3377</v>
      </c>
      <c r="B699" s="318">
        <f>(FRorig.w2*Ksw+(1-FRorig.w2)*Ksw.alt)*(1000/RHOsolid/CORG)*CORG.susp2T</f>
        <v>100</v>
      </c>
      <c r="C699" s="317" t="s">
        <v>1121</v>
      </c>
    </row>
    <row r="700" spans="1:3" ht="14.5" x14ac:dyDescent="0.3">
      <c r="A700" s="319" t="s">
        <v>3063</v>
      </c>
      <c r="B700" s="318">
        <f>(FRorig.w2*Ksw+(1-FRorig.w2)*Ksw.alt)*(1000/RHOsolid/CORG)*CORG.susp3A</f>
        <v>100</v>
      </c>
      <c r="C700" s="317" t="s">
        <v>1121</v>
      </c>
    </row>
    <row r="701" spans="1:3" ht="14.5" x14ac:dyDescent="0.3">
      <c r="A701" s="319" t="s">
        <v>2665</v>
      </c>
      <c r="B701" s="318">
        <f>(FRorig.w2*Ksw+(1-FRorig.w2)*Ksw.alt)*(1000/RHOsolid/CORG)*CORG.susp3M</f>
        <v>100</v>
      </c>
      <c r="C701" s="317" t="s">
        <v>1122</v>
      </c>
    </row>
    <row r="702" spans="1:3" ht="14.5" x14ac:dyDescent="0.3">
      <c r="A702" s="319" t="s">
        <v>3378</v>
      </c>
      <c r="B702" s="318">
        <f>(FRorig.w2*Ksw+(1-FRorig.w2)*Ksw.alt)*(1000/RHOsolid/CORG)*CORG.susp3T</f>
        <v>100</v>
      </c>
      <c r="C702" s="317" t="s">
        <v>1121</v>
      </c>
    </row>
    <row r="703" spans="1:3" x14ac:dyDescent="0.3">
      <c r="A703" s="319" t="s">
        <v>2092</v>
      </c>
      <c r="B703" s="318">
        <f>FRACa.s1C*(Kaw.C*FRorig.s1w)+FRACw.s1C+FRACs.s1C*Kp.s1C*RHOsolid/1000</f>
        <v>30.200000000000003</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30.200000000000003</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30.200000000000003</v>
      </c>
      <c r="C707" s="317" t="s">
        <v>314</v>
      </c>
    </row>
    <row r="708" spans="1:3" x14ac:dyDescent="0.3">
      <c r="A708" s="319" t="s">
        <v>1177</v>
      </c>
      <c r="B708" s="318">
        <v>28500.200000000004</v>
      </c>
      <c r="C708" s="317" t="s">
        <v>314</v>
      </c>
    </row>
    <row r="709" spans="1:3" x14ac:dyDescent="0.3">
      <c r="A709" s="319" t="s">
        <v>3072</v>
      </c>
      <c r="B709" s="318">
        <f>FRACw.sdA+FRACs.sdA*Kp.sdA*RHOsolid/1000</f>
        <v>25.799999999999997</v>
      </c>
      <c r="C709" s="317" t="s">
        <v>314</v>
      </c>
    </row>
    <row r="710" spans="1:3" x14ac:dyDescent="0.3">
      <c r="A710" s="319" t="s">
        <v>2683</v>
      </c>
      <c r="B710" s="318">
        <f>FRACw.sdM+FRACs.sdM*Kp.sdM*RHOsolid/1000</f>
        <v>25.799999999999997</v>
      </c>
      <c r="C710" s="317" t="s">
        <v>314</v>
      </c>
    </row>
    <row r="711" spans="1:3" x14ac:dyDescent="0.3">
      <c r="A711" s="319" t="s">
        <v>3387</v>
      </c>
      <c r="B711" s="318">
        <f>FRACw.sdT+FRACs.sdT*Kp.sdT*RHOsolid/1000</f>
        <v>25.799999999999997</v>
      </c>
      <c r="C711" s="317" t="s">
        <v>314</v>
      </c>
    </row>
    <row r="712" spans="1:3" x14ac:dyDescent="0.3">
      <c r="A712" s="319" t="s">
        <v>2086</v>
      </c>
      <c r="B712" s="318">
        <f>FRACw.sdC+FRACs.sdC*Kp.sd1C*RHOsolid/1000</f>
        <v>25.799999999999997</v>
      </c>
      <c r="C712" s="317" t="s">
        <v>314</v>
      </c>
    </row>
    <row r="713" spans="1:3" x14ac:dyDescent="0.3">
      <c r="A713" s="319" t="s">
        <v>1145</v>
      </c>
      <c r="B713" s="325">
        <f>FRACw.sdR+FRACs.sdR*Kp.sd1R*RHOsolid/1000</f>
        <v>25.799999999999997</v>
      </c>
      <c r="C713" s="317" t="s">
        <v>314</v>
      </c>
    </row>
    <row r="714" spans="1:3" x14ac:dyDescent="0.3">
      <c r="A714" s="319" t="s">
        <v>2089</v>
      </c>
      <c r="B714" s="318">
        <f>FRACw.sdC+FRACs.sdC*Kp.sd2C*RHOsolid/1000</f>
        <v>25.799999999999997</v>
      </c>
      <c r="C714" s="317" t="s">
        <v>314</v>
      </c>
    </row>
    <row r="715" spans="1:3" x14ac:dyDescent="0.3">
      <c r="A715" s="319" t="s">
        <v>1151</v>
      </c>
      <c r="B715" s="318">
        <f>FRACw.sdR+FRACs.sdR*Kp.sd2R*RHOsolid/1000</f>
        <v>25.799999999999997</v>
      </c>
      <c r="C715" s="317" t="s">
        <v>314</v>
      </c>
    </row>
    <row r="716" spans="1:3" x14ac:dyDescent="0.3">
      <c r="A716" s="319" t="s">
        <v>3075</v>
      </c>
      <c r="B716" s="318">
        <f>FRACa.sA*(Kaw.A*FRorig.s1w)+FRACw.sA+FRACs.sA*Kp.sA*RHOsolid/1000</f>
        <v>30.200000000000003</v>
      </c>
      <c r="C716" s="317" t="s">
        <v>314</v>
      </c>
    </row>
    <row r="717" spans="1:3" x14ac:dyDescent="0.3">
      <c r="A717" s="319" t="s">
        <v>2689</v>
      </c>
      <c r="B717" s="318">
        <f>FRACa.sM*(Kaw.M*FRorig.s1w)+FRACw.sM+FRACs.sM*Kp.sM*RHOsolid/1000</f>
        <v>30.200000000000003</v>
      </c>
      <c r="C717" s="317" t="s">
        <v>314</v>
      </c>
    </row>
    <row r="718" spans="1:3" x14ac:dyDescent="0.3">
      <c r="A718" s="319" t="s">
        <v>3390</v>
      </c>
      <c r="B718" s="318">
        <f>FRACa.sT*(Kaw.T*FRorig.s1w)+FRACw.sT+FRACs.sT*Kp.sT*RHOsolid/1000</f>
        <v>30.200000000000003</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1.4807522790689052</v>
      </c>
      <c r="C736" s="317" t="s">
        <v>1089</v>
      </c>
    </row>
    <row r="737" spans="1:3" ht="14.5" x14ac:dyDescent="0.3">
      <c r="A737" s="317" t="s">
        <v>4647</v>
      </c>
      <c r="B737" s="318">
        <f>FRACinf.s1R*RAINrate.R/Ks1w.R*SYSTEMAREA.R*AREAFRAC.s1R*CORRleach.s1R</f>
        <v>9.7094401471891897E-2</v>
      </c>
      <c r="C737" s="317" t="s">
        <v>1089</v>
      </c>
    </row>
    <row r="738" spans="1:3" ht="14.5" x14ac:dyDescent="0.3">
      <c r="A738" s="317" t="s">
        <v>4648</v>
      </c>
      <c r="B738" s="318">
        <f>FRACinf.s2C*RAINrate.C/Ks2w.C*SYSTEMAREA.C*AREAFRAC.s2C*CORRleach.s2C</f>
        <v>5.9895341687292962</v>
      </c>
      <c r="C738" s="317" t="s">
        <v>1089</v>
      </c>
    </row>
    <row r="739" spans="1:3" ht="14.5" x14ac:dyDescent="0.3">
      <c r="A739" s="317" t="s">
        <v>4649</v>
      </c>
      <c r="B739" s="318">
        <f>FRACinf.s2R*RAINrate.R/Ks2w.R*SYSTEMAREA.R*AREAFRAC.s2R*CORRleach.s2R</f>
        <v>0.39273971982261235</v>
      </c>
      <c r="C739" s="317" t="s">
        <v>1089</v>
      </c>
    </row>
    <row r="740" spans="1:3" ht="14.5" x14ac:dyDescent="0.3">
      <c r="A740" s="317" t="s">
        <v>4650</v>
      </c>
      <c r="B740" s="318">
        <f>FRACinf.s3C*RAINrate.C/Ks3w.C*SYSTEMAREA.C*AREAFRAC.s3C*CORRleach.s3C</f>
        <v>0.54842677002552032</v>
      </c>
      <c r="C740" s="317" t="s">
        <v>1089</v>
      </c>
    </row>
    <row r="741" spans="1:3" ht="14.5" x14ac:dyDescent="0.3">
      <c r="A741" s="317" t="s">
        <v>4651</v>
      </c>
      <c r="B741" s="318">
        <f>FRACinf.s3R*RAINrate.R/Ks3w.R*SYSTEMAREA.R*AREAFRAC.s3R*CORRleach.s3R</f>
        <v>3.5960889434034034E-2</v>
      </c>
      <c r="C741" s="317" t="s">
        <v>1089</v>
      </c>
    </row>
    <row r="742" spans="1:3" ht="14.5" x14ac:dyDescent="0.3">
      <c r="A742" s="317" t="s">
        <v>4652</v>
      </c>
      <c r="B742" s="318">
        <f>FRACinf.sA*RAINrate.A/Kslw.A*SYSTEMAREA.A*AREAFRAC.sA*CORRleach.sA</f>
        <v>9.5521709569837707</v>
      </c>
      <c r="C742" s="317" t="s">
        <v>1089</v>
      </c>
    </row>
    <row r="743" spans="1:3" ht="14.5" x14ac:dyDescent="0.3">
      <c r="A743" s="317" t="s">
        <v>4653</v>
      </c>
      <c r="B743" s="325">
        <f>FRACinf.sM*RAINrate.M/Kslw.M*SYSTEMAREA.M*AREAFRAC.sM*CORRleach.sM</f>
        <v>61.021320104290851</v>
      </c>
      <c r="C743" s="317" t="s">
        <v>1089</v>
      </c>
    </row>
    <row r="744" spans="1:3" ht="14.5" x14ac:dyDescent="0.3">
      <c r="A744" s="317" t="s">
        <v>4654</v>
      </c>
      <c r="B744" s="318">
        <f>FRACinf.sT*RAINrate.T/Kslw.T*SYSTEMAREA.T*AREAFRAC.sT*CORRleach.sT</f>
        <v>111.76040019671012</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8.8388347648318441E-23</v>
      </c>
      <c r="C750" s="319" t="s">
        <v>1226</v>
      </c>
    </row>
    <row r="751" spans="1:3" ht="14.5" x14ac:dyDescent="0.3">
      <c r="A751" s="321" t="s">
        <v>4656</v>
      </c>
      <c r="B751" s="323">
        <f>0.1*KDEG.s1C</f>
        <v>4.0612619817811774E-22</v>
      </c>
      <c r="C751" s="319" t="s">
        <v>1226</v>
      </c>
    </row>
    <row r="752" spans="1:3" ht="14.5" x14ac:dyDescent="0.3">
      <c r="A752" s="321" t="s">
        <v>2735</v>
      </c>
      <c r="B752" s="318">
        <f>0.1*KDEG.sM</f>
        <v>4.0612619817811774E-22</v>
      </c>
      <c r="C752" s="319" t="s">
        <v>1226</v>
      </c>
    </row>
    <row r="753" spans="1:3" ht="14.5" x14ac:dyDescent="0.3">
      <c r="A753" s="321" t="s">
        <v>1259</v>
      </c>
      <c r="B753" s="318">
        <f>0.1*KDEG.s1R</f>
        <v>4.0612619817811774E-22</v>
      </c>
      <c r="C753" s="319" t="s">
        <v>1226</v>
      </c>
    </row>
    <row r="754" spans="1:3" ht="14.5" x14ac:dyDescent="0.3">
      <c r="A754" s="321" t="s">
        <v>3419</v>
      </c>
      <c r="B754" s="318">
        <f>0.1*KDEG.sT</f>
        <v>9.9999999999999991E-22</v>
      </c>
      <c r="C754" s="319" t="s">
        <v>1226</v>
      </c>
    </row>
    <row r="755" spans="1:3" ht="14.5" x14ac:dyDescent="0.3">
      <c r="A755" s="321" t="s">
        <v>3103</v>
      </c>
      <c r="B755" s="318">
        <f>0.01*(0.3+0.2*WINDspeed.A)*((0.018/Molweight)^(0.67*0.5))</f>
        <v>6.508402137399746E-3</v>
      </c>
      <c r="C755" s="320" t="s">
        <v>1226</v>
      </c>
    </row>
    <row r="756" spans="1:3" ht="14.5" x14ac:dyDescent="0.3">
      <c r="A756" s="321" t="s">
        <v>4657</v>
      </c>
      <c r="B756" s="318">
        <f>0.01*(0.3+0.2*WINDspeed.C)*((0.018/Molweight)^(0.67*0.5))</f>
        <v>6.508402137399746E-3</v>
      </c>
      <c r="C756" s="319" t="s">
        <v>1226</v>
      </c>
    </row>
    <row r="757" spans="1:3" ht="14.5" x14ac:dyDescent="0.3">
      <c r="A757" s="321" t="s">
        <v>2730</v>
      </c>
      <c r="B757" s="318">
        <f>0.01*(0.3+0.2*WINDspeed.M)*((0.018/Molweight)^(0.67*0.5))</f>
        <v>6.508402137399746E-3</v>
      </c>
      <c r="C757" s="320" t="s">
        <v>1226</v>
      </c>
    </row>
    <row r="758" spans="1:3" ht="14.5" x14ac:dyDescent="0.3">
      <c r="A758" s="321" t="s">
        <v>1247</v>
      </c>
      <c r="B758" s="318">
        <f>0.01*(0.3+0.2*WINDspeed.R)*((0.018/Molweight)^(0.67*0.5))</f>
        <v>6.508402137399746E-3</v>
      </c>
      <c r="C758" s="319" t="s">
        <v>1226</v>
      </c>
    </row>
    <row r="759" spans="1:3" ht="14.5" x14ac:dyDescent="0.3">
      <c r="A759" s="321" t="s">
        <v>3415</v>
      </c>
      <c r="B759" s="318">
        <f>0.01*(0.3+0.2*WINDspeed.T)*((0.018/Molweight)^(0.67*0.5))</f>
        <v>6.508402137399746E-3</v>
      </c>
      <c r="C759" s="320" t="s">
        <v>1226</v>
      </c>
    </row>
    <row r="760" spans="1:3" ht="14.5" x14ac:dyDescent="0.3">
      <c r="A760" s="321" t="s">
        <v>3104</v>
      </c>
      <c r="B760" s="318">
        <f>0.01*(0.0004+0.00004*WINDspeed.A^2)*((0.032/Molweight)^(0.5*0.5))</f>
        <v>6.8902045811906283E-6</v>
      </c>
      <c r="C760" s="320" t="s">
        <v>1226</v>
      </c>
    </row>
    <row r="761" spans="1:3" ht="14.5" x14ac:dyDescent="0.3">
      <c r="A761" s="321" t="s">
        <v>4658</v>
      </c>
      <c r="B761" s="318">
        <f>0.01*(0.0004+0.00004*WINDspeed.C^2)*((0.032/Molweight)^(0.5*0.5))</f>
        <v>6.8902045811906283E-6</v>
      </c>
      <c r="C761" s="319" t="s">
        <v>1226</v>
      </c>
    </row>
    <row r="762" spans="1:3" ht="14.5" x14ac:dyDescent="0.3">
      <c r="A762" s="321" t="s">
        <v>2731</v>
      </c>
      <c r="B762" s="318">
        <f>0.01*(0.0004+0.00004*WINDspeed.M^2)*((0.032/Molweight)^(0.5*0.5))</f>
        <v>6.8902045811906283E-6</v>
      </c>
      <c r="C762" s="320" t="s">
        <v>1226</v>
      </c>
    </row>
    <row r="763" spans="1:3" ht="14.5" x14ac:dyDescent="0.3">
      <c r="A763" s="321" t="s">
        <v>1249</v>
      </c>
      <c r="B763" s="318">
        <f>0.01*(0.0004+0.00004*WINDspeed.R^2)*((0.032/Molweight)^(0.5*0.5))</f>
        <v>6.8902045811906283E-6</v>
      </c>
      <c r="C763" s="319" t="s">
        <v>1226</v>
      </c>
    </row>
    <row r="764" spans="1:3" ht="14.5" x14ac:dyDescent="0.3">
      <c r="A764" s="321" t="s">
        <v>3416</v>
      </c>
      <c r="B764" s="318">
        <f>0.01*(0.0004+0.00004*WINDspeed.T^2)*((0.032/Molweight)^(0.5*0.5))</f>
        <v>6.8902045811906283E-6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5.8022068233431984E-45</v>
      </c>
      <c r="C784" s="321" t="s">
        <v>596</v>
      </c>
    </row>
    <row r="785" spans="1:3" x14ac:dyDescent="0.3">
      <c r="A785" s="317" t="s">
        <v>4660</v>
      </c>
      <c r="B785" s="323">
        <f>IF(Tm&gt;298,EXP(-6.79*(1-Tm/298))*Pvap25*EXP((H0vap/8.314)*(1/298-1/TEMP.C)),Pvap25*EXP((H0vap/8.314)*(1/298-1/TEMP.C)))</f>
        <v>4.0184331729414909E-39</v>
      </c>
      <c r="C785" s="317" t="s">
        <v>596</v>
      </c>
    </row>
    <row r="786" spans="1:3" x14ac:dyDescent="0.3">
      <c r="A786" s="317" t="s">
        <v>4661</v>
      </c>
      <c r="B786" s="318">
        <f>IF(Tm&gt;298,EXP(-6.79*(1-Tm/298))*Pvap25*EXP((H0vap/8.314)*(1/298-1/TEMP.M)),Pvap25*EXP((H0vap/8.314)*(1/298-1/TEMP.M)))</f>
        <v>4.0184331729414909E-39</v>
      </c>
      <c r="C786" s="317" t="s">
        <v>596</v>
      </c>
    </row>
    <row r="787" spans="1:3" x14ac:dyDescent="0.3">
      <c r="A787" s="321" t="s">
        <v>4662</v>
      </c>
      <c r="B787" s="323">
        <f>IF(Tm&gt;298,EXP(-6.79*(1-Tm/298))*Pvap25*EXP((H0vap/8.314)*(1/298-1/TEMP.R)),Pvap25*EXP((H0vap/8.314)*(1/298-1/TEMP.R)))</f>
        <v>4.0184331729414909E-39</v>
      </c>
      <c r="C787" s="321" t="s">
        <v>596</v>
      </c>
    </row>
    <row r="788" spans="1:3" x14ac:dyDescent="0.3">
      <c r="A788" s="317" t="s">
        <v>4663</v>
      </c>
      <c r="B788" s="323">
        <f>IF(Tm&gt;298,EXP(-6.79*(1-Tm/298))*Pvap25*EXP((H0vap/8.314)*(1/298-1/TEMP.T)),Pvap25*EXP((H0vap/8.314)*(1/298-1/TEMP.T)))</f>
        <v>4.4658020473390378E-36</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2.666753943691715E-10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220.9008686704876</v>
      </c>
      <c r="C819" s="317" t="s">
        <v>1089</v>
      </c>
    </row>
    <row r="820" spans="1:3" ht="14.5" x14ac:dyDescent="0.3">
      <c r="A820" s="317" t="s">
        <v>4680</v>
      </c>
      <c r="B820" s="318">
        <f>(RAINrate.R*FRACrun.s1R/Ks1w.R+EROSION.s1R)*SYSTEMAREA.R*AREAFRAC.s1R*CORRrunoff.s1R</f>
        <v>14.484689931842352</v>
      </c>
      <c r="C820" s="317" t="s">
        <v>1089</v>
      </c>
    </row>
    <row r="821" spans="1:3" ht="14.5" x14ac:dyDescent="0.3">
      <c r="A821" s="317" t="s">
        <v>4681</v>
      </c>
      <c r="B821" s="318">
        <f>(RAINrate.C*FRACrun.s2C/Ks2w.C+EROSION.s2C)*SYSTEMAREA.C*AREAFRAC.s2C*CORRrunoff.s2C</f>
        <v>893.52778280768723</v>
      </c>
      <c r="C821" s="317" t="s">
        <v>1089</v>
      </c>
    </row>
    <row r="822" spans="1:3" ht="14.5" x14ac:dyDescent="0.3">
      <c r="A822" s="317" t="s">
        <v>4682</v>
      </c>
      <c r="B822" s="318">
        <f>(RAINrate.R*FRACrun.s2R/Ks2w.R+EROSION.s2R)*SYSTEMAREA.R*AREAFRAC.s2R*CORRrunoff.s2R</f>
        <v>58.589506493801494</v>
      </c>
      <c r="C822" s="317" t="s">
        <v>1089</v>
      </c>
    </row>
    <row r="823" spans="1:3" ht="14.5" x14ac:dyDescent="0.3">
      <c r="A823" s="317" t="s">
        <v>4683</v>
      </c>
      <c r="B823" s="318">
        <f>(RAINrate.C*FRACrun.s3C/Ks3w.C+EROSION.s3C)*SYSTEMAREA.C*AREAFRAC.s3C*CORRrunoff.s3C</f>
        <v>81.81513654462502</v>
      </c>
      <c r="C823" s="317" t="s">
        <v>1089</v>
      </c>
    </row>
    <row r="824" spans="1:3" ht="14.5" x14ac:dyDescent="0.3">
      <c r="A824" s="317" t="s">
        <v>4684</v>
      </c>
      <c r="B824" s="318">
        <f>(RAINrate.R*FRACrun.s3R/Ks3w.R+EROSION.s3R)*SYSTEMAREA.R*AREAFRAC.s3R*CORRrunoff.s3R</f>
        <v>5.3646999747564257</v>
      </c>
      <c r="C824" s="317" t="s">
        <v>1089</v>
      </c>
    </row>
    <row r="825" spans="1:3" ht="14.5" x14ac:dyDescent="0.3">
      <c r="A825" s="317" t="s">
        <v>4685</v>
      </c>
      <c r="B825" s="318">
        <f>(RAINrate.A*FRACrun.sA/Kslw.A+EROSION.sA)*SYSTEMAREA.A*AREAFRAC.sA*CORRrunoff.sA</f>
        <v>1438.2183814285722</v>
      </c>
      <c r="C825" s="321" t="s">
        <v>1089</v>
      </c>
    </row>
    <row r="826" spans="1:3" ht="14.5" x14ac:dyDescent="0.3">
      <c r="A826" s="317" t="s">
        <v>4686</v>
      </c>
      <c r="B826" s="318">
        <f>(RAINrate.M*FRACrun.sM/Kslw.M+EROSION.sM)*SYSTEMAREA.M*AREAFRAC.sM*CORRrunoff.sM</f>
        <v>9103.2529944399139</v>
      </c>
      <c r="C826" s="321" t="s">
        <v>1089</v>
      </c>
    </row>
    <row r="827" spans="1:3" ht="14.5" x14ac:dyDescent="0.3">
      <c r="A827" s="317" t="s">
        <v>4687</v>
      </c>
      <c r="B827" s="318">
        <f>(RAINrate.T*FRACrun.sT/Kslw.T+EROSION.sT)*SYSTEMAREA.T*AREAFRAC.sT*CORRrunoff.sT</f>
        <v>16632.952710945108</v>
      </c>
      <c r="C827" s="321" t="s">
        <v>1089</v>
      </c>
    </row>
    <row r="828" spans="1:3" ht="14.5" x14ac:dyDescent="0.3">
      <c r="A828" s="317" t="s">
        <v>4688</v>
      </c>
      <c r="B828" s="318">
        <f>(GROSSSEDrate.w1C*FRACs.sdC*RHOsolid/SUSP.w1C)*((Kp.susp1C*SUSP.w1C/1000)*FRw.w1C)*(SYSTEMAREA.C*AREAFRAC.w1C)</f>
        <v>4221.6893349785678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54567.183937146103</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374713.05091471871</v>
      </c>
      <c r="C832" s="321" t="s">
        <v>1089</v>
      </c>
    </row>
    <row r="833" spans="1:3" ht="14.5" x14ac:dyDescent="0.3">
      <c r="A833" s="317" t="s">
        <v>4693</v>
      </c>
      <c r="B833" s="318">
        <f>(GROSSSEDrate.w3M*FRACs.sdM*RHOsolid/SUSP.w3M)*((Kp.susp3M*SUSP.w3M/1000)*FRw.w3M)*(SYSTEMAREA.M*AREAFRAC.wM)</f>
        <v>569939.87295793742</v>
      </c>
      <c r="C833" s="321" t="s">
        <v>1089</v>
      </c>
    </row>
    <row r="834" spans="1:3" ht="14.5" x14ac:dyDescent="0.3">
      <c r="A834" s="317" t="s">
        <v>4694</v>
      </c>
      <c r="B834" s="318">
        <f>(GROSSSEDrate.w3T*FRACs.sdT*RHOsolid/SUSP.w3T)*((Kp.susp3T*SUSP.w3T/1000)*FRw.w3T)*(SYSTEMAREA.T*AREAFRAC.wT)</f>
        <v>1311495.6782015155</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22.393706874198525</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4.6932074622607381E-16</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1.8983679345623973E-15</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1.7382249860224951E-16</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4.0455402443703001E-47</v>
      </c>
      <c r="C921" s="321" t="s">
        <v>1089</v>
      </c>
    </row>
    <row r="922" spans="1:3" ht="14.5" x14ac:dyDescent="0.3">
      <c r="A922" s="317" t="s">
        <v>4728</v>
      </c>
      <c r="B922" s="318">
        <f>(MTCas.air.aM*MTCas.soil.sM/(MTCas.air.aM+MTCas.soil.sM/((Kaw.M*FRorig.s1w)/Ksw.M)*(SYSTEMAREA.M*AREAFRAC.sM*CORRvolat.sM)))</f>
        <v>7.9617831031511965E-42</v>
      </c>
      <c r="C922" s="321" t="s">
        <v>1089</v>
      </c>
    </row>
    <row r="923" spans="1:3" ht="14.5" x14ac:dyDescent="0.3">
      <c r="A923" s="317" t="s">
        <v>4729</v>
      </c>
      <c r="B923" s="318">
        <f>(MTCas.air.aT*MTCas.soil.sT/(MTCas.air.aT+MTCas.soil.sT/((Kaw.T*FRorig.s1w)/Ksw.T)*(SYSTEMAREA.T*AREAFRAC.sT*CORRvolat.sT)))</f>
        <v>7.1377874911888183E-39</v>
      </c>
      <c r="C923" s="321" t="s">
        <v>1089</v>
      </c>
    </row>
    <row r="924" spans="1:3" ht="14.5" x14ac:dyDescent="0.3">
      <c r="A924" s="317" t="s">
        <v>4730</v>
      </c>
      <c r="B924" s="318">
        <f>(MTCaw.air.aC*MTCaw.water.wC/(FRorig.w1*MTCaw.air.aC*Kaw.C+MTCaw.water.wC))*Kaw.C*(FRw.w0C*FRorig.w1)*(SYSTEMAREA.C*AREAFRAC.w0C)</f>
        <v>6.4134288977720049E-16</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7.0445599328473471E-15</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4.1776530924560916E-18</v>
      </c>
      <c r="C928" s="321" t="s">
        <v>1089</v>
      </c>
    </row>
    <row r="929" spans="1:3" ht="14.5" x14ac:dyDescent="0.3">
      <c r="A929" s="317" t="s">
        <v>4735</v>
      </c>
      <c r="B929" s="318">
        <f>(MTCaw.air.aC*MTCaw.water.wC/(FRorig.w2*MTCaw.air.aC*Kaw.C+MTCaw.water.wC))*Kaw.C*(FRw.w2C*FRorig.w2)*(SYSTEMAREA.C*AREAFRAC.w2C)</f>
        <v>2.731620688620961E-13</v>
      </c>
      <c r="C929" s="317" t="s">
        <v>1089</v>
      </c>
    </row>
    <row r="930" spans="1:3" ht="14.5" x14ac:dyDescent="0.3">
      <c r="A930" s="317" t="s">
        <v>4736</v>
      </c>
      <c r="B930" s="318">
        <f>(MTCaw.air.aM*MTCaw.water.wM/(FRorig.w1*MTCaw.air.aM*Kaw.M+MTCaw.water.wM))*Kaw.M*(FRw.w2M*FRorig.w1)*(SYSTEMAREA.M*AREAFRAC.wM)</f>
        <v>2.8531059070872934E-12</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5.8045696175046686E-9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1.2469952790040386E-12</v>
      </c>
      <c r="AH3" s="685">
        <f>SUM(C20,C36,C52)</f>
        <v>1375315.79239847</v>
      </c>
      <c r="AI3" s="685">
        <f>SUM(C28,C44,C68)</f>
        <v>148580.98120118779</v>
      </c>
      <c r="AJ3" s="961">
        <f>SUM(C76,C84,C92)</f>
        <v>310694.48033797194</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34027.066491699872</v>
      </c>
      <c r="R4" s="11">
        <f>$E$11</f>
        <v>126538.542282653</v>
      </c>
      <c r="S4" s="685">
        <f>SUM(T4:V4)</f>
        <v>168693.46630519867</v>
      </c>
      <c r="T4" s="11">
        <f>$G$11</f>
        <v>101362.9369400728</v>
      </c>
      <c r="U4" s="11">
        <f>$I$11</f>
        <v>24353.566490695779</v>
      </c>
      <c r="V4" s="962">
        <f>$K$11</f>
        <v>42976.962874430079</v>
      </c>
      <c r="W4" s="11"/>
      <c r="X4" s="11"/>
      <c r="Y4" s="11"/>
      <c r="Z4" s="11"/>
      <c r="AA4" s="11"/>
      <c r="AB4" s="11"/>
      <c r="AC4" s="11"/>
      <c r="AD4" s="11"/>
      <c r="AE4" s="960"/>
      <c r="AF4" s="410" t="s">
        <v>4750</v>
      </c>
      <c r="AG4" s="685">
        <f>C15</f>
        <v>4853.2497175648405</v>
      </c>
      <c r="AH4" s="685">
        <f>SUM(C23,C39,C55)</f>
        <v>4809.8136065040862</v>
      </c>
      <c r="AI4" s="685">
        <f>SUM(C31,C47,C71)</f>
        <v>1.0717997170396646E-3</v>
      </c>
      <c r="AJ4" s="961">
        <f>SUM(C79,C87,C95)</f>
        <v>2.6293832959736139</v>
      </c>
      <c r="AK4" s="11"/>
      <c r="AL4" s="11"/>
      <c r="AM4" s="11"/>
      <c r="AN4" s="11"/>
      <c r="AO4" s="11"/>
      <c r="AP4" s="11"/>
      <c r="AQ4" s="11"/>
      <c r="AR4" s="11"/>
      <c r="AS4" s="11"/>
    </row>
    <row r="5" spans="1:45" ht="12.75" customHeight="1" x14ac:dyDescent="0.45">
      <c r="A5" s="17"/>
      <c r="B5" s="21" t="s">
        <v>85</v>
      </c>
      <c r="C5" s="918" t="str">
        <f>ChemName</f>
        <v>nTiO2_10nm</v>
      </c>
      <c r="D5" s="38"/>
      <c r="E5" s="38"/>
      <c r="F5" s="38"/>
      <c r="G5" s="447"/>
      <c r="H5" s="448"/>
      <c r="I5" s="448"/>
      <c r="J5" s="448"/>
      <c r="K5" s="38"/>
      <c r="L5" s="38"/>
      <c r="M5" s="17"/>
      <c r="N5" s="156"/>
      <c r="O5" s="11"/>
      <c r="P5" s="467" t="s">
        <v>4744</v>
      </c>
      <c r="Q5" s="685">
        <f>SUM(C19,C35,C51)</f>
        <v>17449233.30570532</v>
      </c>
      <c r="R5" s="685">
        <f>SUM(E19,E35,E51)</f>
        <v>119801117692.06548</v>
      </c>
      <c r="S5" s="685">
        <f>SUM(T5:V5)</f>
        <v>80077528306729.375</v>
      </c>
      <c r="T5" s="685">
        <f>SUM(G51,G59)</f>
        <v>19397670976225.996</v>
      </c>
      <c r="U5" s="685">
        <f>SUM(I51,I59)</f>
        <v>12841400175174.215</v>
      </c>
      <c r="V5" s="961">
        <f>SUM(K51,K59)</f>
        <v>47838457155329.172</v>
      </c>
      <c r="W5" s="11"/>
      <c r="X5" s="11"/>
      <c r="Y5" s="11"/>
      <c r="Z5" s="11"/>
      <c r="AA5" s="11"/>
      <c r="AB5" s="11"/>
      <c r="AC5" s="11"/>
      <c r="AD5" s="11"/>
      <c r="AE5" s="960"/>
      <c r="AF5" s="410" t="s">
        <v>4751</v>
      </c>
      <c r="AG5" s="685">
        <f>C16</f>
        <v>29155.35841825129</v>
      </c>
      <c r="AH5" s="685">
        <f>SUM(C24,C40,C56)</f>
        <v>15947825.528505504</v>
      </c>
      <c r="AI5" s="685">
        <f>SUM(C32,C48,C72)</f>
        <v>5770256.0851903865</v>
      </c>
      <c r="AJ5" s="961">
        <f>SUM(C80,C88,C96)</f>
        <v>4160070.7878445736</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41317764.50559251</v>
      </c>
      <c r="R6" s="685">
        <f>SUM(E27,E43,E67)</f>
        <v>824800243.71459603</v>
      </c>
      <c r="S6" s="685">
        <f>SUM(T6:V6)</f>
        <v>36003859975.409683</v>
      </c>
      <c r="T6" s="685">
        <f>G67</f>
        <v>8655115653.7715282</v>
      </c>
      <c r="U6" s="685">
        <f>I67</f>
        <v>5654614343.4866686</v>
      </c>
      <c r="V6" s="961">
        <f>K67</f>
        <v>21694129978.151489</v>
      </c>
      <c r="W6" s="11"/>
      <c r="X6" s="11"/>
      <c r="Y6" s="11"/>
      <c r="Z6" s="11"/>
      <c r="AA6" s="11"/>
      <c r="AB6" s="11"/>
      <c r="AC6" s="11"/>
      <c r="AD6" s="11"/>
      <c r="AE6" s="963"/>
      <c r="AF6" s="479" t="s">
        <v>4752</v>
      </c>
      <c r="AG6" s="964">
        <f>C17</f>
        <v>18.458355883737198</v>
      </c>
      <c r="AH6" s="964">
        <f>SUM(C25,C41,C57)</f>
        <v>121282.17119484073</v>
      </c>
      <c r="AI6" s="964">
        <f>SUM(C33,C49,C73)</f>
        <v>35398927.438129142</v>
      </c>
      <c r="AJ6" s="965">
        <f>SUM(C81,C89,C97)</f>
        <v>6720831749.2973433</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6725302517.1949091</v>
      </c>
      <c r="R7" s="964">
        <f>SUM(E75,E83,E91)</f>
        <v>31884355.088686451</v>
      </c>
      <c r="S7" s="964">
        <f>SUM(T7:V7)</f>
        <v>756149.4359275559</v>
      </c>
      <c r="T7" s="964">
        <f>G91</f>
        <v>654149.48129965132</v>
      </c>
      <c r="U7" s="964">
        <f>I91</f>
        <v>73143.285415644874</v>
      </c>
      <c r="V7" s="965">
        <f>K91</f>
        <v>28856.669212259727</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6.7570277941831985E-11</v>
      </c>
      <c r="AH8" s="966">
        <f>SUM(E20,E36,E52)</f>
        <v>110827633517.47614</v>
      </c>
      <c r="AI8" s="966">
        <f>SUM(E28,E44,E68)</f>
        <v>594542548.63082039</v>
      </c>
      <c r="AJ8" s="967">
        <f>SUM(E76,E84,E92)</f>
        <v>1304.9312376498044</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774.35809420535611</v>
      </c>
      <c r="AH9" s="685">
        <f>SUM(E23,E39,E55)</f>
        <v>1.9230303553740002</v>
      </c>
      <c r="AI9" s="685">
        <f>SUM(E31,E47,E71)</f>
        <v>2.4576472630217423E-7</v>
      </c>
      <c r="AJ9" s="961">
        <f>SUM(E79,E87,E95)</f>
        <v>1.2081738621146339E-2</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1834591.2539376295</v>
      </c>
      <c r="R10" s="685">
        <f>E99</f>
        <v>111422177371.03821</v>
      </c>
      <c r="S10" s="685">
        <f>SUM(T10:V10)</f>
        <v>74101774554321.609</v>
      </c>
      <c r="T10" s="685">
        <f>G99</f>
        <v>17951263819284.973</v>
      </c>
      <c r="U10" s="685">
        <f>I99</f>
        <v>11885425452771.432</v>
      </c>
      <c r="V10" s="961">
        <f>K99</f>
        <v>44265085282265.203</v>
      </c>
      <c r="W10" s="11"/>
      <c r="X10" s="11"/>
      <c r="Y10" s="11"/>
      <c r="Z10" s="11"/>
      <c r="AA10" s="11"/>
      <c r="AB10" s="11"/>
      <c r="AC10" s="11"/>
      <c r="AD10" s="11"/>
      <c r="AE10" s="467"/>
      <c r="AF10" s="410" t="s">
        <v>4751</v>
      </c>
      <c r="AG10" s="685">
        <f>E16</f>
        <v>125758.6771454909</v>
      </c>
      <c r="AH10" s="685">
        <f>SUM(E24,E40,E56)</f>
        <v>8973132129.1610565</v>
      </c>
      <c r="AI10" s="685">
        <f>SUM(E32,E48,E72)</f>
        <v>224839020.29473048</v>
      </c>
      <c r="AJ10" s="961">
        <f>SUM(E80,E88,E96)</f>
        <v>339391.08047177066</v>
      </c>
      <c r="AK10" s="11"/>
      <c r="AL10" s="11"/>
      <c r="AM10" s="11"/>
      <c r="AN10" s="11"/>
      <c r="AO10" s="11"/>
      <c r="AP10" s="11"/>
      <c r="AQ10" s="11"/>
      <c r="AR10" s="11"/>
      <c r="AS10" s="11"/>
    </row>
    <row r="11" spans="1:45" ht="12.75" customHeight="1" x14ac:dyDescent="0.3">
      <c r="A11" s="17"/>
      <c r="B11" s="452" t="s">
        <v>136</v>
      </c>
      <c r="C11" s="453">
        <f>SUM(C12,C15:C17)</f>
        <v>34027.066491699872</v>
      </c>
      <c r="D11" s="446">
        <f t="shared" ref="D11:D17" si="0">C11/$C$103</f>
        <v>5.0157056537648049E-6</v>
      </c>
      <c r="E11" s="453">
        <f>SUM(E12,E15:E17)</f>
        <v>126538.542282653</v>
      </c>
      <c r="F11" s="446">
        <f t="shared" ref="F11:F17" si="1">E11/$E$103</f>
        <v>1.048737894892561E-6</v>
      </c>
      <c r="G11" s="445">
        <f>SUM(G12,G15:G17)</f>
        <v>101362.9369400728</v>
      </c>
      <c r="H11" s="446">
        <f t="shared" ref="H11:H17" si="2">G11/$G$103</f>
        <v>5.2231902377596974E-9</v>
      </c>
      <c r="I11" s="445">
        <f>SUM(I12,I15:I17)</f>
        <v>24353.566490695779</v>
      </c>
      <c r="J11" s="446">
        <f t="shared" ref="J11:J17" si="3">I11/$I$103</f>
        <v>1.8956536501849684E-9</v>
      </c>
      <c r="K11" s="445">
        <f>SUM(K12,K15:K17)</f>
        <v>42976.962874430079</v>
      </c>
      <c r="L11" s="461">
        <f t="shared" ref="L11:L17" si="4">K11/$K$103</f>
        <v>8.9796963978923397E-10</v>
      </c>
      <c r="M11" s="17"/>
      <c r="N11" s="156"/>
      <c r="O11" s="11"/>
      <c r="P11" s="467" t="s">
        <v>243</v>
      </c>
      <c r="Q11" s="685">
        <f>C100</f>
        <v>9665.693779164616</v>
      </c>
      <c r="R11" s="685">
        <f>E100</f>
        <v>776.29320654511582</v>
      </c>
      <c r="S11" s="685">
        <f>SUM(T11:V11)</f>
        <v>18.64858179897923</v>
      </c>
      <c r="T11" s="685">
        <f>G100</f>
        <v>18.320499577950862</v>
      </c>
      <c r="U11" s="685">
        <f>I100</f>
        <v>0.1252613544229926</v>
      </c>
      <c r="V11" s="961">
        <f>K100</f>
        <v>0.20282086660537657</v>
      </c>
      <c r="W11" s="11"/>
      <c r="X11" s="11"/>
      <c r="Y11" s="11"/>
      <c r="Z11" s="11"/>
      <c r="AA11" s="11"/>
      <c r="AB11" s="11"/>
      <c r="AC11" s="11"/>
      <c r="AD11" s="11"/>
      <c r="AE11" s="464"/>
      <c r="AF11" s="479" t="s">
        <v>4752</v>
      </c>
      <c r="AG11" s="964">
        <f>E17</f>
        <v>5.507042956663974</v>
      </c>
      <c r="AH11" s="964">
        <f>SUM(E25,E41,E57)</f>
        <v>352043.50525000569</v>
      </c>
      <c r="AI11" s="964">
        <f>SUM(E33,E49,E73)</f>
        <v>5418674.789044952</v>
      </c>
      <c r="AJ11" s="965">
        <f>SUM(E81,E89,E97)</f>
        <v>31543659.064895291</v>
      </c>
      <c r="AK11" s="11"/>
      <c r="AL11" s="11"/>
      <c r="AM11" s="11"/>
      <c r="AN11" s="11"/>
      <c r="AO11" s="11"/>
      <c r="AP11" s="11"/>
      <c r="AQ11" s="11"/>
      <c r="AR11" s="11"/>
      <c r="AS11" s="11"/>
    </row>
    <row r="12" spans="1:45" ht="12.75" customHeight="1" x14ac:dyDescent="0.3">
      <c r="A12" s="17"/>
      <c r="B12" s="443" t="s">
        <v>140</v>
      </c>
      <c r="C12" s="295">
        <f>(M.aRG)*Molweight</f>
        <v>1.2469952790040386E-12</v>
      </c>
      <c r="D12" s="446">
        <f t="shared" si="0"/>
        <v>1.8381135713371689E-22</v>
      </c>
      <c r="E12" s="296">
        <f>(M.aCG)*Molweight</f>
        <v>6.7570277941831985E-11</v>
      </c>
      <c r="F12" s="446">
        <f t="shared" si="1"/>
        <v>5.6001523146783326E-22</v>
      </c>
      <c r="G12" s="296">
        <f>(M.aMG)*Molweight</f>
        <v>4.5853718970552805E-9</v>
      </c>
      <c r="H12" s="446">
        <f t="shared" si="2"/>
        <v>2.3628231829309111E-22</v>
      </c>
      <c r="I12" s="296">
        <f>(M.aAG)*Molweight</f>
        <v>1.9970367881478103E-10</v>
      </c>
      <c r="J12" s="446">
        <f t="shared" si="3"/>
        <v>1.5544705037154932E-23</v>
      </c>
      <c r="K12" s="296">
        <f>(M.aTG)*Molweight</f>
        <v>1.0243946774104967E-7</v>
      </c>
      <c r="L12" s="461">
        <f t="shared" si="4"/>
        <v>2.1403916376408455E-21</v>
      </c>
      <c r="M12" s="17"/>
      <c r="N12" s="156"/>
      <c r="O12" s="11"/>
      <c r="P12" s="467" t="s">
        <v>244</v>
      </c>
      <c r="Q12" s="685">
        <f>C101</f>
        <v>25907307.759958718</v>
      </c>
      <c r="R12" s="685">
        <f>E101</f>
        <v>9198436299.2134056</v>
      </c>
      <c r="S12" s="685">
        <f>SUM(T12:V12)</f>
        <v>6010405005825.916</v>
      </c>
      <c r="T12" s="685">
        <f>G101</f>
        <v>1454861636368.1746</v>
      </c>
      <c r="U12" s="685">
        <f>I101</f>
        <v>961564063077.6886</v>
      </c>
      <c r="V12" s="961">
        <f>K101</f>
        <v>3593979306380.0522</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5.2781884432061521E-25</v>
      </c>
      <c r="D13" s="446">
        <f t="shared" si="0"/>
        <v>7.7802297834527818E-35</v>
      </c>
      <c r="E13" s="296">
        <f>FRgas.aC*E12</f>
        <v>2.8600642371449599E-23</v>
      </c>
      <c r="F13" s="446">
        <f t="shared" si="1"/>
        <v>2.3703906281936798E-34</v>
      </c>
      <c r="G13" s="296">
        <f>FRgas.aC*G12</f>
        <v>1.9408619553210889E-21</v>
      </c>
      <c r="H13" s="446">
        <f t="shared" si="2"/>
        <v>1.0001181421830484E-34</v>
      </c>
      <c r="I13" s="296">
        <f>FRgas.aC*I12</f>
        <v>8.4529081010459608E-23</v>
      </c>
      <c r="J13" s="446">
        <f t="shared" si="3"/>
        <v>6.5796466002413711E-36</v>
      </c>
      <c r="K13" s="296">
        <f>FRgas.aC*K12</f>
        <v>4.3359812491900111E-20</v>
      </c>
      <c r="L13" s="461">
        <f t="shared" si="4"/>
        <v>9.0596897967040438E-34</v>
      </c>
      <c r="M13" s="17"/>
      <c r="N13" s="156"/>
      <c r="O13" s="11"/>
      <c r="P13" s="464" t="s">
        <v>246</v>
      </c>
      <c r="Q13" s="964">
        <f>C102</f>
        <v>6756351977.3650227</v>
      </c>
      <c r="R13" s="964">
        <f>E102</f>
        <v>37314382.866233207</v>
      </c>
      <c r="S13" s="964">
        <f>SUM(T13:V13)</f>
        <v>1353531381.5178714</v>
      </c>
      <c r="T13" s="964">
        <f>G102</f>
        <v>201391720.71778598</v>
      </c>
      <c r="U13" s="964">
        <f>I102</f>
        <v>65371165.309438176</v>
      </c>
      <c r="V13" s="965">
        <f>K102</f>
        <v>1086768495.4906473</v>
      </c>
      <c r="W13" s="11"/>
      <c r="X13" s="11"/>
      <c r="Y13" s="11"/>
      <c r="Z13" s="11"/>
      <c r="AA13" s="11"/>
      <c r="AB13" s="11"/>
      <c r="AC13" s="11"/>
      <c r="AD13" s="11"/>
      <c r="AE13" s="471" t="s">
        <v>4747</v>
      </c>
      <c r="AF13" s="465" t="s">
        <v>4749</v>
      </c>
      <c r="AG13" s="966">
        <f t="shared" ref="AG13:AJ16" si="5">SUM(AG18,AG23,AG28)</f>
        <v>1.0722454331691973E-7</v>
      </c>
      <c r="AH13" s="966">
        <f t="shared" si="5"/>
        <v>74076131390548.219</v>
      </c>
      <c r="AI13" s="966">
        <f t="shared" si="5"/>
        <v>25643163754.91164</v>
      </c>
      <c r="AJ13" s="967">
        <f t="shared" si="5"/>
        <v>18.466036094308308</v>
      </c>
      <c r="AK13" s="11"/>
      <c r="AL13" s="11"/>
      <c r="AM13" s="11"/>
      <c r="AN13" s="11"/>
      <c r="AO13" s="11"/>
      <c r="AP13" s="11"/>
      <c r="AQ13" s="11"/>
      <c r="AR13" s="11"/>
      <c r="AS13" s="11"/>
    </row>
    <row r="14" spans="1:45" ht="12.75" customHeight="1" x14ac:dyDescent="0.3">
      <c r="A14" s="17"/>
      <c r="B14" s="159" t="s">
        <v>145</v>
      </c>
      <c r="C14" s="295">
        <f>(1-FRgas.aR)*C12</f>
        <v>1.2469952790035109E-12</v>
      </c>
      <c r="D14" s="446">
        <f t="shared" si="0"/>
        <v>1.838113571336391E-22</v>
      </c>
      <c r="E14" s="296">
        <f>(1-FRgas.aC)*E12</f>
        <v>6.7570277941803383E-11</v>
      </c>
      <c r="F14" s="446">
        <f t="shared" si="1"/>
        <v>5.6001523146759618E-22</v>
      </c>
      <c r="G14" s="296">
        <f>(1-FRgas.aC)*G12</f>
        <v>4.5853718970533399E-9</v>
      </c>
      <c r="H14" s="446">
        <f t="shared" si="2"/>
        <v>2.3628231829299115E-22</v>
      </c>
      <c r="I14" s="296">
        <f>(1-FRgas.aC)*I12</f>
        <v>1.997036788146965E-10</v>
      </c>
      <c r="J14" s="446">
        <f t="shared" si="3"/>
        <v>1.5544705037148352E-23</v>
      </c>
      <c r="K14" s="296">
        <f>(1-FRgas.aC)*K12</f>
        <v>1.0243946774100631E-7</v>
      </c>
      <c r="L14" s="461">
        <f t="shared" si="4"/>
        <v>2.1403916376399397E-21</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18.631545570530001</v>
      </c>
      <c r="AH14" s="685">
        <f t="shared" si="5"/>
        <v>1.6728519496653604E-2</v>
      </c>
      <c r="AI14" s="685">
        <f t="shared" si="5"/>
        <v>6.1553835260962675E-18</v>
      </c>
      <c r="AJ14" s="961">
        <f t="shared" si="5"/>
        <v>3.0770895257747107E-4</v>
      </c>
      <c r="AK14" s="11"/>
      <c r="AL14" s="11"/>
      <c r="AM14" s="11"/>
      <c r="AN14" s="11"/>
      <c r="AO14" s="11"/>
      <c r="AP14" s="11"/>
      <c r="AQ14" s="11"/>
      <c r="AR14" s="11"/>
      <c r="AS14" s="11"/>
    </row>
    <row r="15" spans="1:45" ht="12.75" customHeight="1" x14ac:dyDescent="0.3">
      <c r="A15" s="17"/>
      <c r="B15" s="159" t="s">
        <v>147</v>
      </c>
      <c r="C15" s="295">
        <f>(M.aRS+M.cwRS)*Molweight</f>
        <v>4853.2497175648405</v>
      </c>
      <c r="D15" s="446">
        <f t="shared" si="0"/>
        <v>7.1538556088754239E-7</v>
      </c>
      <c r="E15" s="296">
        <f>(M.aCS+M.cwCS)*Molweight</f>
        <v>774.35809420535611</v>
      </c>
      <c r="F15" s="446">
        <f t="shared" si="1"/>
        <v>6.4177970044568001E-9</v>
      </c>
      <c r="G15" s="296">
        <f>(M.aMS+M.cwMS)*Molweight</f>
        <v>18.303857373163787</v>
      </c>
      <c r="H15" s="446">
        <f t="shared" si="2"/>
        <v>9.4319020374653996E-13</v>
      </c>
      <c r="I15" s="296">
        <f>(M.aAS+M.cwAS)*Molweight</f>
        <v>0.12512669925643746</v>
      </c>
      <c r="J15" s="446">
        <f t="shared" si="3"/>
        <v>9.7397185858458536E-15</v>
      </c>
      <c r="K15" s="296">
        <f>(M.aTS+M.cwTS)*Molweight</f>
        <v>0.20256149810977733</v>
      </c>
      <c r="L15" s="461">
        <f t="shared" si="4"/>
        <v>4.2323622547331169E-15</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168674.65268723684</v>
      </c>
      <c r="AH15" s="685">
        <f t="shared" si="5"/>
        <v>6000715487315.5293</v>
      </c>
      <c r="AI15" s="685">
        <f t="shared" si="5"/>
        <v>9689093923.1155968</v>
      </c>
      <c r="AJ15" s="961">
        <f t="shared" si="5"/>
        <v>255912.61745348747</v>
      </c>
      <c r="AK15" s="11"/>
      <c r="AL15" s="11"/>
      <c r="AM15" s="11"/>
      <c r="AN15" s="11"/>
      <c r="AO15" s="11"/>
      <c r="AP15" s="11"/>
      <c r="AQ15" s="11"/>
      <c r="AR15" s="11"/>
      <c r="AS15" s="11"/>
    </row>
    <row r="16" spans="1:45" ht="12.75" customHeight="1" x14ac:dyDescent="0.3">
      <c r="A16" s="17"/>
      <c r="B16" s="159" t="s">
        <v>150</v>
      </c>
      <c r="C16" s="295">
        <f>(M.aRA+M.cwRA)*Molweight</f>
        <v>29155.35841825129</v>
      </c>
      <c r="D16" s="446">
        <f t="shared" si="0"/>
        <v>4.297599268265835E-6</v>
      </c>
      <c r="E16" s="296">
        <f>(M.aCA+M.cwCA)*Molweight</f>
        <v>125758.6771454909</v>
      </c>
      <c r="F16" s="446">
        <f t="shared" si="1"/>
        <v>1.0422744561055031E-6</v>
      </c>
      <c r="G16" s="296">
        <f>(M.aMA+M.cwMA)*Molweight</f>
        <v>101344.45603882757</v>
      </c>
      <c r="H16" s="446">
        <f t="shared" si="2"/>
        <v>5.2222379245584118E-9</v>
      </c>
      <c r="I16" s="296">
        <f>(M.aAA+M.cwAA)*Molweight</f>
        <v>24353.437662626471</v>
      </c>
      <c r="J16" s="446">
        <f t="shared" si="3"/>
        <v>1.8956436223559881E-9</v>
      </c>
      <c r="K16" s="296">
        <f>(M.aTA+M.cwTA)*Molweight</f>
        <v>42976.758985782784</v>
      </c>
      <c r="L16" s="461">
        <f t="shared" si="4"/>
        <v>8.9796537969724698E-10</v>
      </c>
      <c r="M16" s="17"/>
      <c r="N16" s="156"/>
      <c r="O16" s="11"/>
      <c r="P16" s="472" t="s">
        <v>243</v>
      </c>
      <c r="Q16" s="968">
        <f t="shared" ref="Q16:V18" si="6">Q11</f>
        <v>9665.693779164616</v>
      </c>
      <c r="R16" s="968">
        <f t="shared" si="6"/>
        <v>776.29320654511582</v>
      </c>
      <c r="S16" s="968">
        <f t="shared" si="6"/>
        <v>18.64858179897923</v>
      </c>
      <c r="T16" s="968">
        <f t="shared" si="6"/>
        <v>18.320499577950862</v>
      </c>
      <c r="U16" s="968">
        <f t="shared" si="6"/>
        <v>0.1252613544229926</v>
      </c>
      <c r="V16" s="969">
        <f t="shared" si="6"/>
        <v>0.20282086660537657</v>
      </c>
      <c r="W16" s="11"/>
      <c r="X16" s="11"/>
      <c r="Y16" s="11"/>
      <c r="Z16" s="11"/>
      <c r="AA16" s="11"/>
      <c r="AB16" s="11"/>
      <c r="AC16" s="11"/>
      <c r="AD16" s="11"/>
      <c r="AE16" s="464"/>
      <c r="AF16" s="479" t="s">
        <v>4752</v>
      </c>
      <c r="AG16" s="964">
        <f t="shared" si="5"/>
        <v>0.18207228408103426</v>
      </c>
      <c r="AH16" s="964">
        <f t="shared" si="5"/>
        <v>681428865.60121787</v>
      </c>
      <c r="AI16" s="964">
        <f t="shared" si="5"/>
        <v>671602297.3824513</v>
      </c>
      <c r="AJ16" s="965">
        <f t="shared" si="5"/>
        <v>500218.35213026521</v>
      </c>
      <c r="AK16" s="11"/>
      <c r="AL16" s="11"/>
      <c r="AM16" s="11"/>
      <c r="AN16" s="11"/>
      <c r="AO16" s="11"/>
      <c r="AP16" s="11"/>
      <c r="AQ16" s="11"/>
      <c r="AR16" s="11"/>
      <c r="AS16" s="11"/>
    </row>
    <row r="17" spans="1:45" ht="12.75" customHeight="1" x14ac:dyDescent="0.3">
      <c r="A17" s="17"/>
      <c r="B17" s="159" t="s">
        <v>152</v>
      </c>
      <c r="C17" s="295">
        <f>(M.aRP+M.cwRP)*Molweight</f>
        <v>18.458355883737198</v>
      </c>
      <c r="D17" s="446">
        <f t="shared" si="0"/>
        <v>2.7208246114265158E-9</v>
      </c>
      <c r="E17" s="296">
        <f>(M.aCP+M.cwCP)*Molweight</f>
        <v>5.507042956663974</v>
      </c>
      <c r="F17" s="446">
        <f t="shared" si="1"/>
        <v>4.5641782600544697E-11</v>
      </c>
      <c r="G17" s="296">
        <f>(M.aMP+M.cwMP)*Molweight</f>
        <v>0.17704386747954964</v>
      </c>
      <c r="H17" s="446">
        <f t="shared" si="2"/>
        <v>9.1229973024668862E-15</v>
      </c>
      <c r="I17" s="296">
        <f>(M.aAP+M.cwAP)*Molweight</f>
        <v>3.7013698518771339E-3</v>
      </c>
      <c r="J17" s="446">
        <f t="shared" si="3"/>
        <v>2.8811037894905977E-16</v>
      </c>
      <c r="K17" s="296">
        <f>(M.aTP+M.cwTP)*Molweight</f>
        <v>1.3270467496074949E-3</v>
      </c>
      <c r="L17" s="461">
        <f t="shared" si="4"/>
        <v>2.7727591994117117E-17</v>
      </c>
      <c r="M17" s="17"/>
      <c r="N17" s="156"/>
      <c r="O17" s="11"/>
      <c r="P17" s="472" t="s">
        <v>244</v>
      </c>
      <c r="Q17" s="968">
        <f t="shared" si="6"/>
        <v>25907307.759958718</v>
      </c>
      <c r="R17" s="968">
        <f t="shared" si="6"/>
        <v>9198436299.2134056</v>
      </c>
      <c r="S17" s="968">
        <f t="shared" si="6"/>
        <v>6010405005825.916</v>
      </c>
      <c r="T17" s="968">
        <f t="shared" si="6"/>
        <v>1454861636368.1746</v>
      </c>
      <c r="U17" s="968">
        <f t="shared" si="6"/>
        <v>961564063077.6886</v>
      </c>
      <c r="V17" s="969">
        <f t="shared" si="6"/>
        <v>3593979306380.0522</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6756351977.3650227</v>
      </c>
      <c r="R18" s="970">
        <f t="shared" si="6"/>
        <v>37314382.866233207</v>
      </c>
      <c r="S18" s="970">
        <f t="shared" si="6"/>
        <v>1353531381.5178714</v>
      </c>
      <c r="T18" s="970">
        <f t="shared" si="6"/>
        <v>201391720.71778598</v>
      </c>
      <c r="U18" s="970">
        <f t="shared" si="6"/>
        <v>65371165.309438176</v>
      </c>
      <c r="V18" s="971">
        <f t="shared" si="6"/>
        <v>1086768495.4906473</v>
      </c>
      <c r="W18" s="11"/>
      <c r="X18" s="11"/>
      <c r="Y18" s="11"/>
      <c r="Z18" s="11"/>
      <c r="AA18" s="11"/>
      <c r="AB18" s="11"/>
      <c r="AC18" s="11"/>
      <c r="AD18" s="11"/>
      <c r="AE18" s="471" t="s">
        <v>272</v>
      </c>
      <c r="AF18" s="465" t="s">
        <v>4749</v>
      </c>
      <c r="AG18" s="966">
        <f>G12</f>
        <v>4.5853718970552805E-9</v>
      </c>
      <c r="AH18" s="966">
        <f>SUM(G52,G60)</f>
        <v>17945053013715.758</v>
      </c>
      <c r="AI18" s="966">
        <f>G68</f>
        <v>6210805555.3713999</v>
      </c>
      <c r="AJ18" s="967">
        <f>G92</f>
        <v>13.842363758323366</v>
      </c>
      <c r="AK18" s="11"/>
      <c r="AL18" s="11"/>
      <c r="AM18" s="11"/>
      <c r="AN18" s="11"/>
      <c r="AO18" s="11"/>
      <c r="AP18" s="11"/>
      <c r="AQ18" s="11"/>
      <c r="AR18" s="11"/>
      <c r="AS18" s="11"/>
    </row>
    <row r="19" spans="1:45" ht="12.75" customHeight="1" x14ac:dyDescent="0.3">
      <c r="A19" s="17"/>
      <c r="B19" s="104" t="s">
        <v>157</v>
      </c>
      <c r="C19" s="295">
        <f>SUM(C20,C23:C25)</f>
        <v>7981243.9615635173</v>
      </c>
      <c r="D19" s="446">
        <f t="shared" ref="D19:D25" si="7">C19/$C$103</f>
        <v>1.1764625808062276E-3</v>
      </c>
      <c r="E19" s="295">
        <f>SUM(E20,E23:E25)</f>
        <v>871223.88877754938</v>
      </c>
      <c r="F19" s="446">
        <f t="shared" ref="F19:F25" si="8">E19/$E$103</f>
        <v>7.2206103422287789E-6</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18.303857373163787</v>
      </c>
      <c r="AH19" s="685">
        <f>SUM(G55,G63)</f>
        <v>1.6338180603818659E-2</v>
      </c>
      <c r="AI19" s="335">
        <f>G71</f>
        <v>6.0144666683026529E-18</v>
      </c>
      <c r="AJ19" s="961">
        <f>G95</f>
        <v>3.0402418325802178E-4</v>
      </c>
      <c r="AK19" s="11"/>
      <c r="AL19" s="11"/>
      <c r="AM19" s="11"/>
      <c r="AN19" s="11"/>
      <c r="AO19" s="11"/>
      <c r="AP19" s="11"/>
      <c r="AQ19" s="11"/>
      <c r="AR19" s="11"/>
      <c r="AS19" s="11"/>
    </row>
    <row r="20" spans="1:45" ht="12.75" customHeight="1" x14ac:dyDescent="0.3">
      <c r="A20" s="17"/>
      <c r="B20" s="443" t="s">
        <v>140</v>
      </c>
      <c r="C20" s="295">
        <f>M.w0RD*Molweight</f>
        <v>22798.680881195385</v>
      </c>
      <c r="D20" s="446">
        <f t="shared" si="7"/>
        <v>3.3606033191866449E-6</v>
      </c>
      <c r="E20" s="295">
        <f>M.w0CD*Molweight</f>
        <v>141.73645426252972</v>
      </c>
      <c r="F20" s="446">
        <f t="shared" si="8"/>
        <v>1.1746965627341405E-9</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101344.45603882757</v>
      </c>
      <c r="AH20" s="685">
        <f>SUM(G56,G64)</f>
        <v>1452516691557.842</v>
      </c>
      <c r="AI20" s="335">
        <f>G72</f>
        <v>2344683269.9432602</v>
      </c>
      <c r="AJ20" s="961">
        <f>G96</f>
        <v>160195.93339730063</v>
      </c>
      <c r="AK20" s="11"/>
      <c r="AL20" s="11"/>
      <c r="AM20" s="11"/>
      <c r="AN20" s="11"/>
      <c r="AO20" s="11"/>
      <c r="AP20" s="11"/>
      <c r="AQ20" s="11"/>
      <c r="AR20" s="11"/>
      <c r="AS20" s="11"/>
    </row>
    <row r="21" spans="1:45" ht="12.75" customHeight="1" x14ac:dyDescent="0.3">
      <c r="A21" s="17"/>
      <c r="B21" s="159" t="s">
        <v>161</v>
      </c>
      <c r="C21" s="295">
        <f>FRwD.w0R*C20</f>
        <v>22792.526898932669</v>
      </c>
      <c r="D21" s="446">
        <f t="shared" si="7"/>
        <v>3.3596962012123167E-6</v>
      </c>
      <c r="E21" s="295">
        <f>FRw.w0C*E20</f>
        <v>141.69819574967727</v>
      </c>
      <c r="F21" s="446">
        <f t="shared" si="8"/>
        <v>1.174379480274466E-9</v>
      </c>
      <c r="G21" s="296"/>
      <c r="H21" s="446"/>
      <c r="I21" s="296"/>
      <c r="J21" s="446"/>
      <c r="K21" s="296"/>
      <c r="L21" s="461"/>
      <c r="M21" s="17"/>
      <c r="N21" s="156"/>
      <c r="O21" s="11"/>
      <c r="P21" s="464" t="s">
        <v>4754</v>
      </c>
      <c r="Q21" s="964">
        <f>$C$103</f>
        <v>6784103542.0726986</v>
      </c>
      <c r="R21" s="964">
        <f>$E$103</f>
        <v>120657928829.41106</v>
      </c>
      <c r="S21" s="964">
        <f>SUM(T21:V21)</f>
        <v>80113533091547.688</v>
      </c>
      <c r="T21" s="964">
        <f>$G$103</f>
        <v>19406326847392.188</v>
      </c>
      <c r="U21" s="964">
        <f>$I$103</f>
        <v>12847054887014.555</v>
      </c>
      <c r="V21" s="965">
        <f>$K$103</f>
        <v>47860151357140.953</v>
      </c>
      <c r="W21" s="410">
        <v>2</v>
      </c>
      <c r="X21" s="410" t="s">
        <v>4755</v>
      </c>
      <c r="Y21" s="11"/>
      <c r="Z21" s="11"/>
      <c r="AA21" s="11"/>
      <c r="AB21" s="11"/>
      <c r="AC21" s="11"/>
      <c r="AD21" s="11"/>
      <c r="AE21" s="467"/>
      <c r="AF21" s="410" t="s">
        <v>4752</v>
      </c>
      <c r="AG21" s="685">
        <f>G17</f>
        <v>0.17704386747954964</v>
      </c>
      <c r="AH21" s="685">
        <f>SUM(G57,G65)</f>
        <v>101270952.37863958</v>
      </c>
      <c r="AI21" s="335">
        <f>G73</f>
        <v>99626828.456867963</v>
      </c>
      <c r="AJ21" s="961">
        <f>G97</f>
        <v>493939.70523456822</v>
      </c>
      <c r="AK21" s="410">
        <v>6</v>
      </c>
      <c r="AL21" s="410" t="s">
        <v>4756</v>
      </c>
      <c r="AM21" s="11"/>
      <c r="AN21" s="11"/>
      <c r="AO21" s="11"/>
      <c r="AP21" s="11"/>
      <c r="AQ21" s="11"/>
      <c r="AR21" s="11"/>
      <c r="AS21" s="11"/>
    </row>
    <row r="22" spans="1:45" ht="12.75" customHeight="1" x14ac:dyDescent="0.3">
      <c r="A22" s="17"/>
      <c r="B22" s="159" t="s">
        <v>163</v>
      </c>
      <c r="C22" s="295">
        <f>(1-FRwD.w0R)*C20</f>
        <v>6.1539822627162639</v>
      </c>
      <c r="D22" s="446">
        <f t="shared" si="7"/>
        <v>9.0711797432798052E-10</v>
      </c>
      <c r="E22" s="295">
        <f>(1-FRw.w0C)*E20</f>
        <v>3.8258512852440488E-2</v>
      </c>
      <c r="F22" s="446">
        <f t="shared" si="8"/>
        <v>3.1708245967433478E-13</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1.4335981606660482</v>
      </c>
      <c r="D23" s="446">
        <f t="shared" si="7"/>
        <v>2.1131725831944646E-10</v>
      </c>
      <c r="E23" s="295">
        <f>M.w0CS*Molweight</f>
        <v>0.11122061102540157</v>
      </c>
      <c r="F23" s="446">
        <f t="shared" si="8"/>
        <v>9.2178452012588259E-13</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1.9970367881478103E-10</v>
      </c>
      <c r="AH23" s="685">
        <f>SUM(I52,I60)</f>
        <v>11881342081640.352</v>
      </c>
      <c r="AI23" s="685">
        <f>I68</f>
        <v>4083371126.7843723</v>
      </c>
      <c r="AJ23" s="961">
        <f>I92</f>
        <v>4.2940608228654202</v>
      </c>
      <c r="AK23" s="11"/>
      <c r="AL23"/>
      <c r="AM23" s="11"/>
      <c r="AN23" s="11"/>
      <c r="AO23" s="11"/>
      <c r="AP23" s="11"/>
      <c r="AQ23" s="11"/>
      <c r="AR23" s="410" t="s">
        <v>4758</v>
      </c>
      <c r="AS23" s="410" t="s">
        <v>4759</v>
      </c>
    </row>
    <row r="24" spans="1:45" ht="12.75" customHeight="1" x14ac:dyDescent="0.3">
      <c r="A24" s="17"/>
      <c r="B24" s="159" t="s">
        <v>150</v>
      </c>
      <c r="C24" s="295">
        <f>M.w0RA*Molweight</f>
        <v>7937358.5873682294</v>
      </c>
      <c r="D24" s="446">
        <f t="shared" si="7"/>
        <v>1.1699937269741589E-3</v>
      </c>
      <c r="E24" s="295">
        <f>M.w0CA*Molweight</f>
        <v>870957.93486332381</v>
      </c>
      <c r="F24" s="446">
        <f t="shared" si="8"/>
        <v>7.2184061446529892E-6</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0.12512669925643746</v>
      </c>
      <c r="AH24" s="685">
        <f>SUM(I55,I63)</f>
        <v>1.3307550450136925E-4</v>
      </c>
      <c r="AI24" s="685">
        <f>I71</f>
        <v>6.1214591998780464E-20</v>
      </c>
      <c r="AJ24" s="961">
        <f>I95</f>
        <v>1.579662053775206E-6</v>
      </c>
      <c r="AK24" s="11"/>
      <c r="AL24" s="11"/>
      <c r="AM24" s="11"/>
      <c r="AN24" s="11"/>
      <c r="AO24" s="11"/>
      <c r="AP24" s="11"/>
      <c r="AQ24" s="11"/>
      <c r="AR24" s="11"/>
      <c r="AS24"/>
    </row>
    <row r="25" spans="1:45" ht="12.75" customHeight="1" x14ac:dyDescent="0.3">
      <c r="A25" s="17"/>
      <c r="B25" s="159" t="s">
        <v>152</v>
      </c>
      <c r="C25" s="295">
        <f>M.w0RP*Molweight</f>
        <v>21085.259715931847</v>
      </c>
      <c r="D25" s="446">
        <f t="shared" si="7"/>
        <v>3.1080391956237476E-6</v>
      </c>
      <c r="E25" s="295">
        <f>M.w0CP*Molweight</f>
        <v>124.10623935205817</v>
      </c>
      <c r="F25" s="446">
        <f t="shared" si="8"/>
        <v>1.0285792285355934E-9</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24353.437662626471</v>
      </c>
      <c r="AH25" s="685">
        <f>SUM(I56,I64)</f>
        <v>960025094829.62573</v>
      </c>
      <c r="AI25" s="685">
        <f>I72</f>
        <v>1538873351.8314602</v>
      </c>
      <c r="AJ25" s="961">
        <f>I96</f>
        <v>70542.793666353944</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3.7013698518771339E-3</v>
      </c>
      <c r="AH26" s="685">
        <f>SUM(I57,I65)</f>
        <v>32998704.237213928</v>
      </c>
      <c r="AI26" s="685">
        <f>I73</f>
        <v>32369864.870835993</v>
      </c>
      <c r="AJ26" s="961">
        <f>I97</f>
        <v>2596.1976868884144</v>
      </c>
      <c r="AK26" s="11"/>
      <c r="AL26" s="11"/>
      <c r="AM26" s="11"/>
      <c r="AN26" s="11"/>
      <c r="AO26" s="11"/>
      <c r="AP26" s="11"/>
      <c r="AQ26" s="11"/>
      <c r="AR26" s="11"/>
      <c r="AS26" s="11"/>
    </row>
    <row r="27" spans="1:45" ht="12.75" customHeight="1" x14ac:dyDescent="0.3">
      <c r="A27" s="17"/>
      <c r="B27" s="104" t="s">
        <v>174</v>
      </c>
      <c r="C27" s="295">
        <f>SUM(C28,C31:C33)</f>
        <v>3487212.597155815</v>
      </c>
      <c r="D27" s="446">
        <f t="shared" ref="D27:D33" si="9">C27/$C$103</f>
        <v>5.1402703032601299E-4</v>
      </c>
      <c r="E27" s="295">
        <f>SUM(E28,E31:E33)</f>
        <v>161351.84205348525</v>
      </c>
      <c r="F27" s="446">
        <f t="shared" ref="F27:F33" si="10">E27/$E$103</f>
        <v>1.3372667972911102E-6</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745.52129299053922</v>
      </c>
      <c r="D28" s="446">
        <f t="shared" si="9"/>
        <v>1.0989238126556739E-7</v>
      </c>
      <c r="E28" s="295">
        <f>M.sd0CD*Molweight</f>
        <v>9.528199090408167</v>
      </c>
      <c r="F28" s="446">
        <f t="shared" si="10"/>
        <v>7.8968694248675135E-11</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1.0243946774104967E-7</v>
      </c>
      <c r="AH28" s="685">
        <f>SUM(K52,K60)</f>
        <v>44249736295192.117</v>
      </c>
      <c r="AI28" s="685">
        <f>K68</f>
        <v>15348987072.755867</v>
      </c>
      <c r="AJ28" s="961">
        <f>K92</f>
        <v>0.32961151311952513</v>
      </c>
      <c r="AK28" s="11"/>
      <c r="AL28" s="11"/>
      <c r="AM28" s="11"/>
      <c r="AN28" s="11"/>
      <c r="AO28" s="11"/>
      <c r="AP28" s="11"/>
      <c r="AQ28" s="11"/>
      <c r="AR28" s="11"/>
      <c r="AS28" s="11"/>
    </row>
    <row r="29" spans="1:45" ht="12.75" customHeight="1" x14ac:dyDescent="0.3">
      <c r="A29" s="17"/>
      <c r="B29" s="159" t="s">
        <v>178</v>
      </c>
      <c r="C29" s="295">
        <f>C28*FRACw.sdR</f>
        <v>596.41703439243145</v>
      </c>
      <c r="D29" s="446">
        <f t="shared" si="9"/>
        <v>8.7913905012453927E-8</v>
      </c>
      <c r="E29" s="295">
        <f>E28*FRACw.sdC</f>
        <v>7.6225592723265336</v>
      </c>
      <c r="F29" s="446">
        <f t="shared" si="10"/>
        <v>6.3174955398940108E-11</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0.20256149810977733</v>
      </c>
      <c r="AH29" s="335">
        <f>SUM(K55,K63)</f>
        <v>2.5726338833357789E-4</v>
      </c>
      <c r="AI29" s="335">
        <f>K71</f>
        <v>7.9702265794834111E-20</v>
      </c>
      <c r="AJ29" s="468">
        <f>K95</f>
        <v>2.1051072656740874E-6</v>
      </c>
      <c r="AK29" s="11"/>
      <c r="AL29" s="11"/>
      <c r="AM29" s="11"/>
      <c r="AN29" s="11"/>
      <c r="AO29" s="11"/>
      <c r="AP29" s="11"/>
      <c r="AQ29" s="11"/>
      <c r="AR29" s="11"/>
      <c r="AS29" s="11"/>
    </row>
    <row r="30" spans="1:45" ht="12.75" customHeight="1" x14ac:dyDescent="0.3">
      <c r="A30" s="17"/>
      <c r="B30" s="159" t="s">
        <v>179</v>
      </c>
      <c r="C30" s="295">
        <f>C28*FRACs.sdR</f>
        <v>149.1042585981078</v>
      </c>
      <c r="D30" s="446">
        <f t="shared" si="9"/>
        <v>2.1978476253113472E-8</v>
      </c>
      <c r="E30" s="295">
        <f>E28*FRACs.sdC</f>
        <v>1.905639818081633</v>
      </c>
      <c r="F30" s="446">
        <f t="shared" si="10"/>
        <v>1.5793738849735024E-11</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42976.758985782784</v>
      </c>
      <c r="AH30" s="335">
        <f>SUM(K56,K64)</f>
        <v>3588173700928.062</v>
      </c>
      <c r="AI30" s="335">
        <f>K72</f>
        <v>5805537301.3408756</v>
      </c>
      <c r="AJ30" s="468">
        <f>K96</f>
        <v>25173.890389832908</v>
      </c>
      <c r="AK30" s="11"/>
      <c r="AL30" s="11"/>
      <c r="AM30" s="11"/>
      <c r="AN30" s="11"/>
      <c r="AO30" s="11"/>
      <c r="AP30" s="11"/>
      <c r="AQ30" s="11"/>
      <c r="AR30" s="11"/>
      <c r="AS30" s="11"/>
    </row>
    <row r="31" spans="1:45" ht="12.75" customHeight="1" x14ac:dyDescent="0.3">
      <c r="A31" s="17"/>
      <c r="B31" s="159" t="s">
        <v>147</v>
      </c>
      <c r="C31" s="295">
        <f>M.sd0RS*Molweight</f>
        <v>9.5877619374883628E-9</v>
      </c>
      <c r="D31" s="446">
        <f t="shared" si="9"/>
        <v>1.4132688096560335E-18</v>
      </c>
      <c r="E31" s="295">
        <f>M.sd0CS*Molweight</f>
        <v>7.4383244626932916E-10</v>
      </c>
      <c r="F31" s="446">
        <f t="shared" si="10"/>
        <v>6.1648037015534763E-21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1.3270467496074949E-3</v>
      </c>
      <c r="AH31" s="469">
        <f>SUM(K57,K65)</f>
        <v>547159208.98536432</v>
      </c>
      <c r="AI31" s="469">
        <f>K73</f>
        <v>539605604.05474734</v>
      </c>
      <c r="AJ31" s="470">
        <f>K97</f>
        <v>3682.4492088085944</v>
      </c>
      <c r="AK31" s="11"/>
      <c r="AL31" s="11"/>
      <c r="AM31" s="11"/>
      <c r="AN31" s="11"/>
      <c r="AO31" s="11"/>
      <c r="AP31" s="11"/>
      <c r="AQ31" s="11"/>
      <c r="AR31" s="11"/>
      <c r="AS31" s="11"/>
    </row>
    <row r="32" spans="1:45" ht="12.75" customHeight="1" x14ac:dyDescent="0.3">
      <c r="A32" s="17"/>
      <c r="B32" s="159" t="s">
        <v>150</v>
      </c>
      <c r="C32" s="295">
        <f>M.sd0RA*Molweight</f>
        <v>1344753.622883196</v>
      </c>
      <c r="D32" s="446">
        <f t="shared" si="9"/>
        <v>1.9822127043661586E-4</v>
      </c>
      <c r="E32" s="295">
        <f>M.sd0CA*Molweight</f>
        <v>148643.63764351746</v>
      </c>
      <c r="F32" s="446">
        <f t="shared" si="10"/>
        <v>1.231942559313058E-6</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2141713.4529796191</v>
      </c>
      <c r="D33" s="446">
        <f t="shared" si="9"/>
        <v>3.1569586750813017E-4</v>
      </c>
      <c r="E33" s="295">
        <f>M.sd0CP*Molweight</f>
        <v>12698.676210876632</v>
      </c>
      <c r="F33" s="446">
        <f t="shared" si="10"/>
        <v>1.0524526928379743E-7</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7613390.1420378927</v>
      </c>
      <c r="D35" s="446">
        <f t="shared" ref="D35:D41" si="11">C35/$C$103</f>
        <v>1.1222396732040189E-3</v>
      </c>
      <c r="E35" s="295">
        <f>SUM(E36,E39:E41)</f>
        <v>401142.08692086831</v>
      </c>
      <c r="F35" s="446">
        <f t="shared" ref="F35:F41" si="12">E35/$E$103</f>
        <v>3.3246226817635184E-6</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4853.2497175648405</v>
      </c>
      <c r="AH35" s="968">
        <f t="shared" si="13"/>
        <v>4809.8136065040862</v>
      </c>
      <c r="AI35" s="968">
        <f t="shared" si="13"/>
        <v>1.0717997170396646E-3</v>
      </c>
      <c r="AJ35" s="969">
        <f t="shared" si="13"/>
        <v>2.6293832959736139</v>
      </c>
      <c r="AK35" s="11"/>
      <c r="AL35" s="11"/>
      <c r="AM35" s="11"/>
      <c r="AN35" s="11"/>
      <c r="AO35" s="11"/>
      <c r="AP35" s="11"/>
      <c r="AQ35" s="11"/>
      <c r="AR35" s="11"/>
      <c r="AS35" s="11"/>
    </row>
    <row r="36" spans="1:45" ht="12.75" customHeight="1" x14ac:dyDescent="0.3">
      <c r="A36" s="17"/>
      <c r="B36" s="443" t="s">
        <v>140</v>
      </c>
      <c r="C36" s="295">
        <f>M.w1RD*Molweight</f>
        <v>9094.8136380960441</v>
      </c>
      <c r="D36" s="446">
        <f t="shared" si="11"/>
        <v>1.3406065490735966E-6</v>
      </c>
      <c r="E36" s="295">
        <f>M.w1CD*Molweight</f>
        <v>44.950211665271013</v>
      </c>
      <c r="F36" s="446">
        <f t="shared" si="12"/>
        <v>3.7254254321589302E-10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29155.35841825129</v>
      </c>
      <c r="AH36" s="968">
        <f t="shared" si="13"/>
        <v>15947825.528505504</v>
      </c>
      <c r="AI36" s="968">
        <f t="shared" si="13"/>
        <v>5770256.0851903865</v>
      </c>
      <c r="AJ36" s="969">
        <f t="shared" si="13"/>
        <v>4160070.7878445736</v>
      </c>
      <c r="AK36" s="11"/>
      <c r="AL36" s="11"/>
      <c r="AM36" s="11"/>
      <c r="AN36" s="11"/>
      <c r="AO36" s="11"/>
      <c r="AP36" s="11"/>
      <c r="AQ36" s="11"/>
      <c r="AR36" s="11"/>
      <c r="AS36" s="11"/>
    </row>
    <row r="37" spans="1:45" ht="12.75" customHeight="1" x14ac:dyDescent="0.3">
      <c r="A37" s="17"/>
      <c r="B37" s="159" t="s">
        <v>161</v>
      </c>
      <c r="C37" s="295">
        <f>FRwD.w1R*C36</f>
        <v>9079.1974185361596</v>
      </c>
      <c r="D37" s="446">
        <f t="shared" si="11"/>
        <v>1.3383046650497107E-6</v>
      </c>
      <c r="E37" s="295">
        <f>FRw.w1C*E36</f>
        <v>44.873030053578852</v>
      </c>
      <c r="F37" s="446">
        <f t="shared" si="12"/>
        <v>3.7190287027901308E-10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18.458355883737198</v>
      </c>
      <c r="AH37" s="970">
        <f t="shared" si="13"/>
        <v>121282.17119484073</v>
      </c>
      <c r="AI37" s="970">
        <f t="shared" si="13"/>
        <v>35398927.438129142</v>
      </c>
      <c r="AJ37" s="971">
        <f t="shared" si="13"/>
        <v>6720831749.2973433</v>
      </c>
      <c r="AK37" s="11"/>
      <c r="AL37" s="11"/>
      <c r="AM37" s="11"/>
      <c r="AN37" s="11"/>
      <c r="AO37" s="11"/>
      <c r="AP37" s="11"/>
      <c r="AQ37" s="11"/>
      <c r="AR37" s="11"/>
      <c r="AS37" s="11"/>
    </row>
    <row r="38" spans="1:45" ht="12.75" customHeight="1" x14ac:dyDescent="0.3">
      <c r="A38" s="17"/>
      <c r="B38" s="159" t="s">
        <v>163</v>
      </c>
      <c r="C38" s="295">
        <f>(1-FRwD.w1R)*C36</f>
        <v>15.616219559883724</v>
      </c>
      <c r="D38" s="446">
        <f t="shared" si="11"/>
        <v>2.3018840238857281E-9</v>
      </c>
      <c r="E38" s="295">
        <f>(1-FRw.w1C)*E36</f>
        <v>7.7181611692163171E-2</v>
      </c>
      <c r="F38" s="446">
        <f t="shared" si="12"/>
        <v>6.3967293687996504E-13</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4808.2265787822553</v>
      </c>
      <c r="D39" s="446">
        <f t="shared" si="11"/>
        <v>7.0874899667484031E-7</v>
      </c>
      <c r="E39" s="295">
        <f>M.w1CS*Molweight</f>
        <v>1.0989903193576471</v>
      </c>
      <c r="F39" s="446">
        <f t="shared" si="12"/>
        <v>9.1083141408089708E-12</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774.35809420535611</v>
      </c>
      <c r="AH39" s="973">
        <f t="shared" si="14"/>
        <v>1.9230303553740002</v>
      </c>
      <c r="AI39" s="973">
        <f t="shared" si="14"/>
        <v>2.4576472630217423E-7</v>
      </c>
      <c r="AJ39" s="974">
        <f t="shared" si="14"/>
        <v>1.2081738621146339E-2</v>
      </c>
      <c r="AK39" s="11"/>
      <c r="AL39" s="11"/>
      <c r="AM39" s="11"/>
      <c r="AN39" s="11"/>
      <c r="AO39" s="11"/>
      <c r="AP39" s="11"/>
      <c r="AQ39" s="11"/>
      <c r="AR39" s="11"/>
      <c r="AS39" s="11"/>
    </row>
    <row r="40" spans="1:45" ht="12.75" customHeight="1" x14ac:dyDescent="0.3">
      <c r="A40" s="17"/>
      <c r="B40" s="159" t="s">
        <v>150</v>
      </c>
      <c r="C40" s="295">
        <f>M.w1RA*Molweight</f>
        <v>7503539.3991806796</v>
      </c>
      <c r="D40" s="446">
        <f t="shared" si="11"/>
        <v>1.1060472990493564E-3</v>
      </c>
      <c r="E40" s="295">
        <f>M.w1CA*Molweight</f>
        <v>400696.33305384958</v>
      </c>
      <c r="F40" s="446">
        <f t="shared" si="12"/>
        <v>3.3209283214231467E-6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125758.6771454909</v>
      </c>
      <c r="AH40" s="968">
        <f t="shared" si="14"/>
        <v>8973132129.1610565</v>
      </c>
      <c r="AI40" s="968">
        <f t="shared" si="14"/>
        <v>224839020.29473048</v>
      </c>
      <c r="AJ40" s="969">
        <f t="shared" si="14"/>
        <v>339391.08047177066</v>
      </c>
      <c r="AK40" s="11"/>
      <c r="AL40" s="11"/>
      <c r="AM40" s="11"/>
      <c r="AN40" s="11"/>
      <c r="AO40" s="11"/>
      <c r="AP40" s="11"/>
      <c r="AQ40" s="11"/>
      <c r="AR40" s="11"/>
      <c r="AS40" s="11"/>
    </row>
    <row r="41" spans="1:45" ht="12.75" customHeight="1" x14ac:dyDescent="0.3">
      <c r="A41" s="17"/>
      <c r="B41" s="159" t="s">
        <v>152</v>
      </c>
      <c r="C41" s="295">
        <f>M.w1RP*Molweight</f>
        <v>95947.702640334988</v>
      </c>
      <c r="D41" s="446">
        <f t="shared" si="11"/>
        <v>1.4143018608914211E-5</v>
      </c>
      <c r="E41" s="295">
        <f>M.w1CP*Molweight</f>
        <v>399.70466503405726</v>
      </c>
      <c r="F41" s="446">
        <f t="shared" si="12"/>
        <v>3.3127094830143227E-9</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5.507042956663974</v>
      </c>
      <c r="AH41" s="970">
        <f t="shared" si="14"/>
        <v>352043.50525000569</v>
      </c>
      <c r="AI41" s="970">
        <f t="shared" si="14"/>
        <v>5418674.789044952</v>
      </c>
      <c r="AJ41" s="971">
        <f t="shared" si="14"/>
        <v>31543659.064895291</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36158004.257112607</v>
      </c>
      <c r="D43" s="446">
        <f t="shared" ref="D43:D49" si="15">C43/$C$103</f>
        <v>5.329813148173961E-3</v>
      </c>
      <c r="E43" s="295">
        <f>SUM(E44,E47:E49)</f>
        <v>356033.35788858688</v>
      </c>
      <c r="F43" s="446">
        <f t="shared" ref="F43:F49" si="16">E43/$E$103</f>
        <v>2.9507663635761144E-6</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18.631545570530001</v>
      </c>
      <c r="AH43" s="973">
        <f t="shared" si="17"/>
        <v>1.6728519496653604E-2</v>
      </c>
      <c r="AI43" s="973">
        <f t="shared" si="17"/>
        <v>6.1553835260962675E-18</v>
      </c>
      <c r="AJ43" s="974">
        <f t="shared" si="17"/>
        <v>3.0770895257747107E-4</v>
      </c>
      <c r="AK43" s="685"/>
      <c r="AL43"/>
      <c r="AM43" s="11"/>
      <c r="AN43" s="11"/>
      <c r="AO43" s="11"/>
      <c r="AP43" s="11"/>
      <c r="AQ43" s="11"/>
      <c r="AR43" s="410" t="s">
        <v>4762</v>
      </c>
      <c r="AS43" s="410" t="s">
        <v>4764</v>
      </c>
    </row>
    <row r="44" spans="1:45" ht="12.75" customHeight="1" x14ac:dyDescent="0.3">
      <c r="A44" s="17"/>
      <c r="B44" s="443" t="s">
        <v>140</v>
      </c>
      <c r="C44" s="295">
        <f>M.sd1RD*Molweight</f>
        <v>3694.5711151501332</v>
      </c>
      <c r="D44" s="446">
        <f t="shared" si="15"/>
        <v>5.44592383096405E-7</v>
      </c>
      <c r="E44" s="295">
        <f>M.sd1CD*Molweight</f>
        <v>18.533083642498337</v>
      </c>
      <c r="F44" s="446">
        <f t="shared" si="16"/>
        <v>1.5360021361464636E-10</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168674.65268723684</v>
      </c>
      <c r="AH44" s="968">
        <f t="shared" si="17"/>
        <v>6000715487315.5293</v>
      </c>
      <c r="AI44" s="968">
        <f t="shared" si="17"/>
        <v>9689093923.1155968</v>
      </c>
      <c r="AJ44" s="969">
        <f t="shared" si="17"/>
        <v>255912.61745348747</v>
      </c>
      <c r="AK44" s="11"/>
      <c r="AL44"/>
      <c r="AM44" s="11"/>
      <c r="AN44" s="11"/>
      <c r="AO44" s="11"/>
      <c r="AP44" s="11"/>
      <c r="AQ44" s="11"/>
      <c r="AR44" s="11"/>
      <c r="AS44"/>
    </row>
    <row r="45" spans="1:45" ht="12.75" customHeight="1" x14ac:dyDescent="0.3">
      <c r="A45" s="17"/>
      <c r="B45" s="159" t="s">
        <v>178</v>
      </c>
      <c r="C45" s="295">
        <f>C44*FRACw.sdR</f>
        <v>2955.6568921201069</v>
      </c>
      <c r="D45" s="446">
        <f t="shared" si="15"/>
        <v>4.3567390647712404E-7</v>
      </c>
      <c r="E45" s="295">
        <f>E44*FRACw.sdC</f>
        <v>14.82646691399867</v>
      </c>
      <c r="F45" s="446">
        <f t="shared" si="16"/>
        <v>1.2288017089171712E-10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0.18207228408103426</v>
      </c>
      <c r="AH45" s="970">
        <f t="shared" si="17"/>
        <v>681428865.60121787</v>
      </c>
      <c r="AI45" s="970">
        <f t="shared" si="17"/>
        <v>671602297.3824513</v>
      </c>
      <c r="AJ45" s="971">
        <f t="shared" si="17"/>
        <v>500218.35213026521</v>
      </c>
      <c r="AK45" s="11"/>
      <c r="AL45" s="11"/>
      <c r="AM45" s="11"/>
      <c r="AN45" s="11"/>
      <c r="AO45" s="11"/>
      <c r="AP45" s="11"/>
      <c r="AQ45" s="11"/>
      <c r="AR45" s="11"/>
      <c r="AS45"/>
    </row>
    <row r="46" spans="1:45" ht="12.75" customHeight="1" x14ac:dyDescent="0.3">
      <c r="A46" s="17"/>
      <c r="B46" s="159" t="s">
        <v>179</v>
      </c>
      <c r="C46" s="295">
        <f>C44*FRACs.sdR</f>
        <v>738.91422303002651</v>
      </c>
      <c r="D46" s="446">
        <f t="shared" si="15"/>
        <v>1.0891847661928098E-7</v>
      </c>
      <c r="E46" s="295">
        <f>E44*FRACs.sdC</f>
        <v>3.7066167284996667</v>
      </c>
      <c r="F46" s="446">
        <f t="shared" si="16"/>
        <v>3.0720042722929266E-11</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1.07178992405129E-3</v>
      </c>
      <c r="D47" s="446">
        <f t="shared" si="15"/>
        <v>1.579854902573957E-13</v>
      </c>
      <c r="E47" s="295">
        <f>M.sd1CS*Molweight</f>
        <v>2.4497322071202191E-7</v>
      </c>
      <c r="F47" s="446">
        <f t="shared" si="16"/>
        <v>2.0303118335337138E-18</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4171845.3591898517</v>
      </c>
      <c r="D48" s="446">
        <f t="shared" si="15"/>
        <v>6.1494423446185453E-4</v>
      </c>
      <c r="E48" s="295">
        <f>M.sd1CA*Molweight</f>
        <v>222780.38715502693</v>
      </c>
      <c r="F48" s="446">
        <f t="shared" si="16"/>
        <v>1.8463800043343935E-6</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31982464.325735819</v>
      </c>
      <c r="D49" s="446">
        <f t="shared" si="15"/>
        <v>4.7143243211710244E-3</v>
      </c>
      <c r="E49" s="295">
        <f>M.sd1CP*Molweight</f>
        <v>133234.43764967247</v>
      </c>
      <c r="F49" s="446">
        <f t="shared" si="16"/>
        <v>1.1042327590260758E-6</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1854599.2021039091</v>
      </c>
      <c r="D51" s="446">
        <f t="shared" ref="D51:D57" si="18">C51/$C$103</f>
        <v>2.7337424769570759E-4</v>
      </c>
      <c r="E51" s="295">
        <f>SUM(E52,E55:E57)</f>
        <v>119799845326.08978</v>
      </c>
      <c r="F51" s="446">
        <f t="shared" ref="F51:F57" si="19">E51/$E$103</f>
        <v>0.99288829576600435</v>
      </c>
      <c r="G51" s="296">
        <f>SUM(G52,G55:G57)</f>
        <v>625652585419.75293</v>
      </c>
      <c r="H51" s="446">
        <f t="shared" ref="H51:H57" si="20">G51/$G$103</f>
        <v>3.223961908607284E-2</v>
      </c>
      <c r="I51" s="296">
        <f>SUM(I52,I55:I57)</f>
        <v>501136243402.97369</v>
      </c>
      <c r="J51" s="446">
        <f t="shared" ref="J51:J57" si="21">I51/$I$103</f>
        <v>3.900786972658677E-2</v>
      </c>
      <c r="K51" s="296">
        <f>SUM(K52,K55:K57)</f>
        <v>1439884628945.6169</v>
      </c>
      <c r="L51" s="461">
        <f t="shared" ref="L51:L57" si="22">K51/$K$103</f>
        <v>3.0085250215799404E-2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1343422.2978791785</v>
      </c>
      <c r="D52" s="446">
        <f t="shared" si="18"/>
        <v>1.9802502859039977E-4</v>
      </c>
      <c r="E52" s="295">
        <f>M.w2CD*Molweight</f>
        <v>110827633330.78947</v>
      </c>
      <c r="F52" s="446">
        <f t="shared" si="19"/>
        <v>0.91852756305373118</v>
      </c>
      <c r="G52" s="296">
        <f>M.w2MD*Molweight</f>
        <v>578871972276.41333</v>
      </c>
      <c r="H52" s="446">
        <f t="shared" si="20"/>
        <v>2.9829033429590094E-2</v>
      </c>
      <c r="I52" s="296">
        <f>M.w2AD*Molweight</f>
        <v>463730793363.50903</v>
      </c>
      <c r="J52" s="446">
        <f t="shared" si="21"/>
        <v>3.6096272448577708E-2</v>
      </c>
      <c r="K52" s="296">
        <f>M.w2TD*Molweight</f>
        <v>1332070579959.783</v>
      </c>
      <c r="L52" s="461">
        <f t="shared" si="22"/>
        <v>2.7832560954929617E-2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1342455.7297537557</v>
      </c>
      <c r="D53" s="446">
        <f t="shared" si="18"/>
        <v>1.9788255315213022E-4</v>
      </c>
      <c r="E53" s="295">
        <f>FRw.w2C*E52</f>
        <v>110747894846.49998</v>
      </c>
      <c r="F53" s="446">
        <f t="shared" si="19"/>
        <v>0.91786669903042917</v>
      </c>
      <c r="G53" s="296">
        <f>FRw.w2M*G52</f>
        <v>578455484327.69739</v>
      </c>
      <c r="H53" s="446">
        <f t="shared" si="20"/>
        <v>2.9807571977766106E-2</v>
      </c>
      <c r="I53" s="296">
        <f>FRw.w2A*I52</f>
        <v>463397147417.36847</v>
      </c>
      <c r="J53" s="446">
        <f t="shared" si="21"/>
        <v>3.6070301831259192E-2</v>
      </c>
      <c r="K53" s="296">
        <f>FRw.w2T*K52</f>
        <v>1331112179190.7654</v>
      </c>
      <c r="L53" s="461">
        <f t="shared" si="22"/>
        <v>2.7812535929060689E-2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966.5681254228349</v>
      </c>
      <c r="D54" s="446">
        <f t="shared" si="18"/>
        <v>1.4247543826955305E-7</v>
      </c>
      <c r="E54" s="295">
        <f>(1-FRw.w2C)*E52</f>
        <v>79738484.289490774</v>
      </c>
      <c r="F54" s="446">
        <f t="shared" si="19"/>
        <v>6.608640233019984E-4</v>
      </c>
      <c r="G54" s="296">
        <f>(1-FRw.w2M)*G52</f>
        <v>416487948.71599841</v>
      </c>
      <c r="H54" s="446">
        <f t="shared" si="20"/>
        <v>2.1461451823994495E-5</v>
      </c>
      <c r="I54" s="296">
        <f>(1-FRw.w2A)*I52</f>
        <v>333645946.14055043</v>
      </c>
      <c r="J54" s="446">
        <f t="shared" si="21"/>
        <v>2.5970617318510133E-5</v>
      </c>
      <c r="K54" s="296">
        <f>(1-FRw.w2T)*K52</f>
        <v>958400769.01748085</v>
      </c>
      <c r="L54" s="461">
        <f t="shared" si="22"/>
        <v>2.0025025868926405E-5</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0.15342956116429798</v>
      </c>
      <c r="D55" s="446">
        <f t="shared" si="18"/>
        <v>2.2616040603269115E-11</v>
      </c>
      <c r="E55" s="295">
        <f>M.w2CS*Molweight</f>
        <v>0.71281942499095152</v>
      </c>
      <c r="F55" s="446">
        <f t="shared" si="19"/>
        <v>5.9077711005528028E-12</v>
      </c>
      <c r="G55" s="296">
        <f>M.w2MS*Molweight</f>
        <v>1.6336831659217066E-2</v>
      </c>
      <c r="H55" s="446">
        <f t="shared" si="20"/>
        <v>8.4183018186217971E-16</v>
      </c>
      <c r="I55" s="296">
        <f>M.w2AS*Molweight</f>
        <v>1.3306264355067006E-4</v>
      </c>
      <c r="J55" s="446">
        <f t="shared" si="21"/>
        <v>1.0357443376782493E-17</v>
      </c>
      <c r="K55" s="296">
        <f>M.w2TS*Molweight</f>
        <v>2.5724485051393847E-4</v>
      </c>
      <c r="L55" s="461">
        <f t="shared" si="22"/>
        <v>5.3749276427132811E-18</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506927.54195659561</v>
      </c>
      <c r="D56" s="446">
        <f t="shared" si="18"/>
        <v>7.4722848614087876E-5</v>
      </c>
      <c r="E56" s="295">
        <f>M.w2CA*Molweight</f>
        <v>8971860474.8931389</v>
      </c>
      <c r="F56" s="446">
        <f t="shared" si="19"/>
        <v>7.435781934876208E-2</v>
      </c>
      <c r="G56" s="296">
        <f>M.w2MA*Molweight</f>
        <v>46778970034.802864</v>
      </c>
      <c r="H56" s="446">
        <f t="shared" si="20"/>
        <v>2.4105009877790962E-3</v>
      </c>
      <c r="I56" s="296">
        <f>M.w2AA*Molweight</f>
        <v>37404821530.013344</v>
      </c>
      <c r="J56" s="446">
        <f t="shared" si="21"/>
        <v>2.9115483555551005E-3</v>
      </c>
      <c r="K56" s="296">
        <f>M.w2TA*Molweight</f>
        <v>107806454337.13467</v>
      </c>
      <c r="L56" s="461">
        <f t="shared" si="22"/>
        <v>2.2525305766934113E-3</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4249.2088385739025</v>
      </c>
      <c r="D57" s="446">
        <f t="shared" si="18"/>
        <v>6.2634787517934489E-7</v>
      </c>
      <c r="E57" s="295">
        <f>M.w2CP*Molweight</f>
        <v>351519.69434561959</v>
      </c>
      <c r="F57" s="446">
        <f t="shared" si="19"/>
        <v>2.9133576032339009E-6</v>
      </c>
      <c r="G57" s="296">
        <f>M.w2MP*Molweight</f>
        <v>1643108.5203783223</v>
      </c>
      <c r="H57" s="446">
        <f t="shared" si="20"/>
        <v>8.46687028049887E-8</v>
      </c>
      <c r="I57" s="296">
        <f>M.w2AP*Molweight</f>
        <v>628509.45116935601</v>
      </c>
      <c r="J57" s="446">
        <f t="shared" si="21"/>
        <v>4.8922453955157916E-8</v>
      </c>
      <c r="K57" s="296">
        <f>M.w2TP*Molweight</f>
        <v>7594648.6989987744</v>
      </c>
      <c r="L57" s="461">
        <f t="shared" si="22"/>
        <v>1.5868417636889939E-7</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18772018390806.242</v>
      </c>
      <c r="H59" s="446">
        <f t="shared" ref="H59:H65" si="23">G59/$G$103</f>
        <v>0.96731434745101263</v>
      </c>
      <c r="I59" s="296">
        <f>SUM(I60,I63:I65)</f>
        <v>12340263931771.24</v>
      </c>
      <c r="J59" s="446">
        <f t="shared" ref="J59:J65" si="24">I59/$I$103</f>
        <v>0.96055197399712489</v>
      </c>
      <c r="K59" s="296">
        <f>SUM(K60,K63:K65)</f>
        <v>46398572526383.555</v>
      </c>
      <c r="L59" s="461">
        <f t="shared" ref="L59:L65" si="25">K59/$K$103</f>
        <v>0.96946146659982668</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17366181041439.346</v>
      </c>
      <c r="H60" s="446">
        <f t="shared" si="23"/>
        <v>0.89487213000192278</v>
      </c>
      <c r="I60" s="296">
        <f>M.w3AD*Molweight</f>
        <v>11417611288276.842</v>
      </c>
      <c r="J60" s="446">
        <f t="shared" si="24"/>
        <v>0.88873375171903757</v>
      </c>
      <c r="K60" s="296">
        <f>M.w3TD*Molweight</f>
        <v>42917665715232.336</v>
      </c>
      <c r="L60" s="461">
        <f t="shared" si="25"/>
        <v>0.89673067255832706</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17353686387240.531</v>
      </c>
      <c r="H61" s="446">
        <f t="shared" si="23"/>
        <v>0.89422828563626455</v>
      </c>
      <c r="I61" s="296">
        <f>FRw.w3A*I60</f>
        <v>11409396522780.439</v>
      </c>
      <c r="J61" s="446">
        <f t="shared" si="24"/>
        <v>0.88809432380589737</v>
      </c>
      <c r="K61" s="296">
        <f>FRw.w3T*K60</f>
        <v>42886787228427.867</v>
      </c>
      <c r="L61" s="461">
        <f t="shared" si="25"/>
        <v>0.89608549100480361</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12494654198.814873</v>
      </c>
      <c r="H62" s="446">
        <f t="shared" si="23"/>
        <v>6.4384436565819759E-4</v>
      </c>
      <c r="I62" s="296">
        <f>(1-FRw.w3A)*I60</f>
        <v>8214765496.4030275</v>
      </c>
      <c r="J62" s="446">
        <f t="shared" si="24"/>
        <v>6.3942791314033258E-4</v>
      </c>
      <c r="K62" s="296">
        <f>(1-FRw.w3T)*K60</f>
        <v>30878486804.47224</v>
      </c>
      <c r="L62" s="461">
        <f t="shared" si="25"/>
        <v>6.4518155352354578E-4</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1.3489446015920957E-6</v>
      </c>
      <c r="H63" s="446">
        <f t="shared" si="23"/>
        <v>6.9510557675337011E-20</v>
      </c>
      <c r="I63" s="296">
        <f>M.w3AS*Molweight</f>
        <v>1.2860950699179812E-8</v>
      </c>
      <c r="J63" s="446">
        <f t="shared" si="24"/>
        <v>1.0010816340622396E-21</v>
      </c>
      <c r="K63" s="296">
        <f>M.w3TS*Molweight</f>
        <v>1.8537819639436917E-8</v>
      </c>
      <c r="L63" s="461">
        <f t="shared" si="25"/>
        <v>3.8733307592582424E-22</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1405737721523.0391</v>
      </c>
      <c r="H64" s="446">
        <f t="shared" si="23"/>
        <v>7.2437083667481431E-2</v>
      </c>
      <c r="I64" s="296">
        <f>M.w3AA*Molweight</f>
        <v>922620273299.61243</v>
      </c>
      <c r="J64" s="446">
        <f t="shared" si="24"/>
        <v>7.1815702619296137E-2</v>
      </c>
      <c r="K64" s="296">
        <f>M.w3TA*Molweight</f>
        <v>3480367246590.9272</v>
      </c>
      <c r="L64" s="461">
        <f t="shared" si="25"/>
        <v>7.2719520266866872E-2</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99627843.858261257</v>
      </c>
      <c r="H65" s="446">
        <f t="shared" si="23"/>
        <v>5.133781608529859E-6</v>
      </c>
      <c r="I65" s="296">
        <f>M.w3AP*Molweight</f>
        <v>32370194.786044572</v>
      </c>
      <c r="J65" s="446">
        <f t="shared" si="24"/>
        <v>2.5196587911182245E-6</v>
      </c>
      <c r="K65" s="296">
        <f>M.w3TP*Molweight</f>
        <v>539564560.28636551</v>
      </c>
      <c r="L65" s="461">
        <f t="shared" si="25"/>
        <v>1.1273774632680095E-5</v>
      </c>
      <c r="M65" s="17"/>
      <c r="N65" s="156"/>
      <c r="O65" s="11"/>
      <c r="P65" s="11"/>
      <c r="Q65" s="11"/>
      <c r="R65" s="11"/>
      <c r="S65" s="11"/>
      <c r="T65" s="11"/>
      <c r="U65" s="11"/>
      <c r="V65" s="11"/>
      <c r="W65" s="11"/>
      <c r="X65" s="11"/>
      <c r="Y65" s="11"/>
      <c r="Z65" s="11"/>
      <c r="AA65" s="11"/>
      <c r="AB65" s="11"/>
      <c r="AC65" s="11"/>
      <c r="AD65" s="11"/>
      <c r="AE65" s="11"/>
      <c r="AF65" s="975"/>
      <c r="AG65" s="968" t="s">
        <v>4750</v>
      </c>
      <c r="AH65" s="968">
        <f>AG35</f>
        <v>4853.2497175648405</v>
      </c>
      <c r="AI65" s="968" t="s">
        <v>4750</v>
      </c>
      <c r="AJ65" s="968">
        <f>AH35</f>
        <v>4809.8136065040862</v>
      </c>
      <c r="AK65" s="968" t="s">
        <v>4750</v>
      </c>
      <c r="AL65" s="968">
        <f>AI35</f>
        <v>1.0717997170396646E-3</v>
      </c>
      <c r="AM65" s="968" t="s">
        <v>4750</v>
      </c>
      <c r="AN65" s="969">
        <f>AJ35</f>
        <v>2.6293832959736139</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29155.35841825129</v>
      </c>
      <c r="AI66" s="968" t="s">
        <v>4751</v>
      </c>
      <c r="AJ66" s="968">
        <f>AH36</f>
        <v>15947825.528505504</v>
      </c>
      <c r="AK66" s="968" t="s">
        <v>4751</v>
      </c>
      <c r="AL66" s="968">
        <f>AI36</f>
        <v>5770256.0851903865</v>
      </c>
      <c r="AM66" s="968" t="s">
        <v>4751</v>
      </c>
      <c r="AN66" s="969">
        <f>AJ36</f>
        <v>4160070.7878445736</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1672547.6513240878</v>
      </c>
      <c r="D67" s="446">
        <f t="shared" ref="D67:D73" si="26">C67/$C$103</f>
        <v>2.4653922820480514E-4</v>
      </c>
      <c r="E67" s="295">
        <f>SUM(E68,E71:E73)</f>
        <v>824282858.51465392</v>
      </c>
      <c r="F67" s="446">
        <f t="shared" ref="F67:F73" si="27">E67/$E$103</f>
        <v>6.8315681075550696E-3</v>
      </c>
      <c r="G67" s="296">
        <f>SUM(G68,G71:G73)</f>
        <v>8655115653.7715282</v>
      </c>
      <c r="H67" s="446">
        <f t="shared" ref="H67:H73" si="28">G67/$G$103</f>
        <v>4.4599453167174695E-4</v>
      </c>
      <c r="I67" s="296">
        <f>SUM(I68,I71:I73)</f>
        <v>5654614343.4866686</v>
      </c>
      <c r="J67" s="446">
        <f t="shared" ref="J67:J73" si="29">I67/$I$103</f>
        <v>4.4014868724521409E-4</v>
      </c>
      <c r="K67" s="296">
        <f>SUM(K68,K71:K73)</f>
        <v>21694129978.151489</v>
      </c>
      <c r="L67" s="461">
        <f t="shared" ref="L67:L73" si="30">K67/$K$103</f>
        <v>4.5328168346702537E-4</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18.458355883737198</v>
      </c>
      <c r="AI67" s="970" t="s">
        <v>4752</v>
      </c>
      <c r="AJ67" s="970">
        <f>AH37</f>
        <v>121282.17119484073</v>
      </c>
      <c r="AK67" s="970" t="s">
        <v>4752</v>
      </c>
      <c r="AL67" s="970">
        <f>AI37</f>
        <v>35398927.438129142</v>
      </c>
      <c r="AM67" s="970" t="s">
        <v>4752</v>
      </c>
      <c r="AN67" s="971">
        <f>AJ37</f>
        <v>6720831749.2973433</v>
      </c>
      <c r="AO67" s="11"/>
      <c r="AP67" s="11"/>
      <c r="AQ67" s="979"/>
      <c r="AR67" s="980" t="s">
        <v>4750</v>
      </c>
      <c r="AS67" s="968">
        <f>AG43</f>
        <v>18.631545570530001</v>
      </c>
      <c r="AT67" s="980" t="s">
        <v>4750</v>
      </c>
      <c r="AU67" s="968">
        <f>AH43</f>
        <v>1.6728519496653604E-2</v>
      </c>
      <c r="AV67" s="980" t="s">
        <v>4750</v>
      </c>
      <c r="AW67" s="968">
        <f>AI43</f>
        <v>6.1553835260962675E-18</v>
      </c>
      <c r="AX67" s="980" t="s">
        <v>4750</v>
      </c>
      <c r="AY67" s="969">
        <f>AJ43</f>
        <v>3.0770895257747107E-4</v>
      </c>
    </row>
    <row r="68" spans="1:51" ht="12.75" customHeight="1" x14ac:dyDescent="0.3">
      <c r="A68" s="17"/>
      <c r="B68" s="443" t="s">
        <v>140</v>
      </c>
      <c r="C68" s="295">
        <f>M.sd2RD*Molweight</f>
        <v>144140.88879304711</v>
      </c>
      <c r="D68" s="446">
        <f t="shared" si="26"/>
        <v>2.1246858615752905E-5</v>
      </c>
      <c r="E68" s="295">
        <f>M.sd2CD*Molweight</f>
        <v>594542520.56953764</v>
      </c>
      <c r="F68" s="446">
        <f t="shared" si="27"/>
        <v>4.9275047760028723E-3</v>
      </c>
      <c r="G68" s="296">
        <f>M.sdMD*Molweight</f>
        <v>6210805555.3713999</v>
      </c>
      <c r="H68" s="446">
        <f t="shared" si="28"/>
        <v>3.2004024276268463E-4</v>
      </c>
      <c r="I68" s="296">
        <f>M.sdAD*Molweight</f>
        <v>4083371126.7843723</v>
      </c>
      <c r="J68" s="446">
        <f t="shared" si="29"/>
        <v>3.1784491953184776E-4</v>
      </c>
      <c r="K68" s="296">
        <f>M.sdTD*Molweight</f>
        <v>15348987072.755867</v>
      </c>
      <c r="L68" s="461">
        <f t="shared" si="30"/>
        <v>3.2070494215989827E-4</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168674.65268723684</v>
      </c>
      <c r="AT68" s="980" t="s">
        <v>4751</v>
      </c>
      <c r="AU68" s="968">
        <f>AH44</f>
        <v>6000715487315.5293</v>
      </c>
      <c r="AV68" s="980" t="s">
        <v>4751</v>
      </c>
      <c r="AW68" s="968">
        <f>AI44</f>
        <v>9689093923.1155968</v>
      </c>
      <c r="AX68" s="980" t="s">
        <v>4751</v>
      </c>
      <c r="AY68" s="969">
        <f>AJ44</f>
        <v>255912.61745348747</v>
      </c>
    </row>
    <row r="69" spans="1:51" ht="12.75" customHeight="1" x14ac:dyDescent="0.3">
      <c r="A69" s="17"/>
      <c r="B69" s="159" t="s">
        <v>178</v>
      </c>
      <c r="C69" s="295">
        <f>C68*FRACw.sdR</f>
        <v>115312.7110344377</v>
      </c>
      <c r="D69" s="446">
        <f t="shared" si="26"/>
        <v>1.6997486892602327E-5</v>
      </c>
      <c r="E69" s="295">
        <f>E68*FRACw.sdC</f>
        <v>475634016.45563012</v>
      </c>
      <c r="F69" s="446">
        <f t="shared" si="27"/>
        <v>3.942003820802298E-3</v>
      </c>
      <c r="G69" s="296">
        <f>FRACw.sdM*G68</f>
        <v>4968644444.2971201</v>
      </c>
      <c r="H69" s="446">
        <f t="shared" si="28"/>
        <v>2.560321942101477E-4</v>
      </c>
      <c r="I69" s="296">
        <f>FRACw.sdA*I68</f>
        <v>3266696901.4274979</v>
      </c>
      <c r="J69" s="446">
        <f t="shared" si="29"/>
        <v>2.5427593562547818E-4</v>
      </c>
      <c r="K69" s="296">
        <f>FRACw.sdT*K68</f>
        <v>12279189658.204695</v>
      </c>
      <c r="L69" s="461">
        <f t="shared" si="30"/>
        <v>2.5656395372791865E-4</v>
      </c>
      <c r="M69" s="166"/>
      <c r="N69" s="156"/>
      <c r="O69" s="11"/>
      <c r="P69" s="979" t="s">
        <v>136</v>
      </c>
      <c r="Q69" s="968">
        <f>Q4</f>
        <v>34027.066491699872</v>
      </c>
      <c r="R69" s="979" t="s">
        <v>136</v>
      </c>
      <c r="S69" s="980">
        <f>R4</f>
        <v>126538.542282653</v>
      </c>
      <c r="T69" s="979" t="s">
        <v>136</v>
      </c>
      <c r="U69" s="968">
        <f>S4</f>
        <v>168693.46630519867</v>
      </c>
      <c r="V69" s="11"/>
      <c r="W69" s="979" t="s">
        <v>243</v>
      </c>
      <c r="X69" s="968">
        <f>Q16</f>
        <v>9665.693779164616</v>
      </c>
      <c r="Y69" s="979" t="s">
        <v>243</v>
      </c>
      <c r="Z69" s="968">
        <f>R16</f>
        <v>776.29320654511582</v>
      </c>
      <c r="AA69" s="979" t="s">
        <v>243</v>
      </c>
      <c r="AB69" s="968">
        <f>S16</f>
        <v>18.64858179897923</v>
      </c>
      <c r="AC69" s="11"/>
      <c r="AD69" s="11"/>
      <c r="AE69" s="11"/>
      <c r="AF69" s="11"/>
      <c r="AG69" s="11"/>
      <c r="AH69" s="11"/>
      <c r="AI69" s="11"/>
      <c r="AJ69" s="11"/>
      <c r="AK69" s="11"/>
      <c r="AL69" s="11"/>
      <c r="AM69" s="11"/>
      <c r="AN69" s="11"/>
      <c r="AO69" s="11"/>
      <c r="AP69" s="11"/>
      <c r="AQ69" s="981"/>
      <c r="AR69" s="982" t="s">
        <v>4752</v>
      </c>
      <c r="AS69" s="970">
        <f>AG45</f>
        <v>0.18207228408103426</v>
      </c>
      <c r="AT69" s="982" t="s">
        <v>4752</v>
      </c>
      <c r="AU69" s="970">
        <f>AH45</f>
        <v>681428865.60121787</v>
      </c>
      <c r="AV69" s="982" t="s">
        <v>4752</v>
      </c>
      <c r="AW69" s="970">
        <f>AI45</f>
        <v>671602297.3824513</v>
      </c>
      <c r="AX69" s="982" t="s">
        <v>4752</v>
      </c>
      <c r="AY69" s="971">
        <f>AJ45</f>
        <v>500218.35213026521</v>
      </c>
    </row>
    <row r="70" spans="1:51" ht="12.75" customHeight="1" x14ac:dyDescent="0.3">
      <c r="A70" s="17"/>
      <c r="B70" s="159" t="s">
        <v>179</v>
      </c>
      <c r="C70" s="295">
        <f>C68*FRACs.sdR</f>
        <v>28828.177758609414</v>
      </c>
      <c r="D70" s="446">
        <f t="shared" si="26"/>
        <v>4.24937172315058E-6</v>
      </c>
      <c r="E70" s="295">
        <f>E68*FRACs.sdC</f>
        <v>118908504.1139075</v>
      </c>
      <c r="F70" s="446">
        <f t="shared" si="27"/>
        <v>9.8550095520057428E-4</v>
      </c>
      <c r="G70" s="296">
        <f>(1-FRACw.sdM)*G68</f>
        <v>1242161111.0742798</v>
      </c>
      <c r="H70" s="446">
        <f t="shared" si="28"/>
        <v>6.4008048552536911E-5</v>
      </c>
      <c r="I70" s="296">
        <f>(1-FRACw.sdA)*I68</f>
        <v>816674225.35687423</v>
      </c>
      <c r="J70" s="446">
        <f t="shared" si="29"/>
        <v>6.3568983906369531E-5</v>
      </c>
      <c r="K70" s="296">
        <f>(1-FRACw.sdT)*K68</f>
        <v>3069797414.5511727</v>
      </c>
      <c r="L70" s="461">
        <f t="shared" si="30"/>
        <v>6.4140988431979649E-5</v>
      </c>
      <c r="M70" s="166"/>
      <c r="N70" s="156"/>
      <c r="O70" s="11"/>
      <c r="P70" s="979" t="s">
        <v>4744</v>
      </c>
      <c r="Q70" s="968">
        <f>Q5</f>
        <v>17449233.30570532</v>
      </c>
      <c r="R70" s="979" t="s">
        <v>4744</v>
      </c>
      <c r="S70" s="968">
        <f>R5</f>
        <v>119801117692.06548</v>
      </c>
      <c r="T70" s="979" t="s">
        <v>4744</v>
      </c>
      <c r="U70" s="968">
        <f>S5</f>
        <v>80077528306729.375</v>
      </c>
      <c r="V70" s="11"/>
      <c r="W70" s="979" t="s">
        <v>244</v>
      </c>
      <c r="X70" s="968">
        <f>Q17</f>
        <v>25907307.759958718</v>
      </c>
      <c r="Y70" s="979" t="s">
        <v>244</v>
      </c>
      <c r="Z70" s="968">
        <f>R17</f>
        <v>9198436299.2134056</v>
      </c>
      <c r="AA70" s="979" t="s">
        <v>244</v>
      </c>
      <c r="AB70" s="968">
        <f>S17</f>
        <v>6010405005825.916</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2.052264371270339E-10</v>
      </c>
      <c r="D71" s="446">
        <f t="shared" si="26"/>
        <v>3.0251076778868343E-20</v>
      </c>
      <c r="E71" s="295">
        <f>M.sd2CS*Molweight</f>
        <v>4.7673143883003711E-11</v>
      </c>
      <c r="F71" s="446">
        <f t="shared" si="27"/>
        <v>3.9510991399831746E-22</v>
      </c>
      <c r="G71" s="296">
        <f>M.sdMS*Molweight</f>
        <v>6.0144666683026529E-18</v>
      </c>
      <c r="H71" s="446">
        <f t="shared" si="28"/>
        <v>3.0992298107721883E-31</v>
      </c>
      <c r="I71" s="296">
        <f>M.sdAS*Molweight</f>
        <v>6.1214591998780464E-20</v>
      </c>
      <c r="J71" s="446">
        <f t="shared" si="29"/>
        <v>4.7648735478397055E-33</v>
      </c>
      <c r="K71" s="296">
        <f>M.sdTS*Molweight</f>
        <v>7.9702265794834111E-20</v>
      </c>
      <c r="L71" s="461">
        <f t="shared" si="30"/>
        <v>1.6653157905849825E-33</v>
      </c>
      <c r="M71" s="166"/>
      <c r="N71" s="156"/>
      <c r="O71" s="11"/>
      <c r="P71" s="979" t="s">
        <v>4745</v>
      </c>
      <c r="Q71" s="968">
        <f>Q6</f>
        <v>41317764.50559251</v>
      </c>
      <c r="R71" s="979" t="s">
        <v>4745</v>
      </c>
      <c r="S71" s="968">
        <f>R6</f>
        <v>824800243.71459603</v>
      </c>
      <c r="T71" s="979" t="s">
        <v>4745</v>
      </c>
      <c r="U71" s="968">
        <f>S6</f>
        <v>36003859975.409683</v>
      </c>
      <c r="V71" s="11"/>
      <c r="W71" s="981" t="s">
        <v>246</v>
      </c>
      <c r="X71" s="970">
        <f>Q18</f>
        <v>6756351977.3650227</v>
      </c>
      <c r="Y71" s="981" t="s">
        <v>246</v>
      </c>
      <c r="Z71" s="970">
        <f>R18</f>
        <v>37314382.866233207</v>
      </c>
      <c r="AA71" s="981" t="s">
        <v>246</v>
      </c>
      <c r="AB71" s="970">
        <f>S18</f>
        <v>1353531381.5178714</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253657.10311733815</v>
      </c>
      <c r="D72" s="446">
        <f t="shared" si="26"/>
        <v>3.7389922123718072E-5</v>
      </c>
      <c r="E72" s="295">
        <f>M.sd2CA*Molweight</f>
        <v>224467596.26993194</v>
      </c>
      <c r="F72" s="446">
        <f t="shared" si="27"/>
        <v>1.8603634128950561E-3</v>
      </c>
      <c r="G72" s="296">
        <f>M.sdMA*Molweight</f>
        <v>2344683269.9432602</v>
      </c>
      <c r="H72" s="446">
        <f t="shared" si="28"/>
        <v>1.208205596237465E-4</v>
      </c>
      <c r="I72" s="296">
        <f>M.sdAA*Molweight</f>
        <v>1538873351.8314602</v>
      </c>
      <c r="J72" s="446">
        <f t="shared" si="29"/>
        <v>1.1978413460246913E-4</v>
      </c>
      <c r="K72" s="296">
        <f>M.sdTA*Molweight</f>
        <v>5805537301.3408756</v>
      </c>
      <c r="L72" s="461">
        <f t="shared" si="30"/>
        <v>1.2130210909737675E-4</v>
      </c>
      <c r="M72" s="166"/>
      <c r="N72" s="156"/>
      <c r="O72" s="11"/>
      <c r="P72" s="981" t="s">
        <v>4746</v>
      </c>
      <c r="Q72" s="970">
        <f>Q7</f>
        <v>6725302517.1949091</v>
      </c>
      <c r="R72" s="981" t="s">
        <v>4746</v>
      </c>
      <c r="S72" s="970">
        <f>R7</f>
        <v>31884355.088686451</v>
      </c>
      <c r="T72" s="981" t="s">
        <v>4746</v>
      </c>
      <c r="U72" s="970">
        <f>S7</f>
        <v>756149.4359275559</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1274749.6594137023</v>
      </c>
      <c r="D73" s="446">
        <f t="shared" si="26"/>
        <v>1.8790244746533412E-4</v>
      </c>
      <c r="E73" s="295">
        <f>M.sd2CP*Molweight</f>
        <v>5272741.6751844026</v>
      </c>
      <c r="F73" s="446">
        <f t="shared" si="27"/>
        <v>4.369991865714126E-5</v>
      </c>
      <c r="G73" s="296">
        <f>M.sdMP*Molweight</f>
        <v>99626828.456867963</v>
      </c>
      <c r="H73" s="446">
        <f t="shared" si="28"/>
        <v>5.1337292853158229E-6</v>
      </c>
      <c r="I73" s="296">
        <f>M.sdAP*Molweight</f>
        <v>32369864.870835993</v>
      </c>
      <c r="J73" s="446">
        <f t="shared" si="29"/>
        <v>2.5196331108972336E-6</v>
      </c>
      <c r="K73" s="296">
        <f>M.sdTP*Molweight</f>
        <v>539605604.05474734</v>
      </c>
      <c r="L73" s="461">
        <f t="shared" si="30"/>
        <v>1.127463220975033E-5</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58644381.916049697</v>
      </c>
      <c r="D75" s="446">
        <f t="shared" ref="D75:D81" si="31">C75/$C$103</f>
        <v>8.6443819072567537E-3</v>
      </c>
      <c r="E75" s="295">
        <f>SUM(E76,E79:E81)</f>
        <v>5117705.4992984338</v>
      </c>
      <c r="F75" s="446">
        <f t="shared" ref="F75:F81" si="32">E75/$C$103</f>
        <v>7.5436724506932533E-4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1240.9650470779591</v>
      </c>
      <c r="D76" s="446">
        <f t="shared" si="31"/>
        <v>1.8292248038107271E-7</v>
      </c>
      <c r="E76" s="295">
        <f>M.s1C*Molweight</f>
        <v>108.29500523701756</v>
      </c>
      <c r="F76" s="446">
        <f t="shared" si="32"/>
        <v>1.5963053123439057E-8</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8.218311570052709</v>
      </c>
      <c r="D77" s="446">
        <f t="shared" si="31"/>
        <v>1.211407154841541E-9</v>
      </c>
      <c r="E77" s="295">
        <f>E76*FRw.s1C</f>
        <v>0.71718546514581172</v>
      </c>
      <c r="F77" s="446">
        <f t="shared" si="32"/>
        <v>1.0571558359893416E-10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1232.7467355079064</v>
      </c>
      <c r="D78" s="446">
        <f t="shared" si="31"/>
        <v>1.8171107322623118E-7</v>
      </c>
      <c r="E78" s="295">
        <f>E76*FRs.s1C</f>
        <v>107.57781977187175</v>
      </c>
      <c r="F78" s="446">
        <f t="shared" si="32"/>
        <v>1.5857337539840123E-8</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4.3340707771421988E-2</v>
      </c>
      <c r="D79" s="446">
        <f t="shared" si="31"/>
        <v>6.3885681435487657E-12</v>
      </c>
      <c r="E79" s="295">
        <f>M.s1CS*Molweight</f>
        <v>3.3629569170951887E-3</v>
      </c>
      <c r="F79" s="446">
        <f t="shared" si="32"/>
        <v>4.9571131929801419E-13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55100.781023883974</v>
      </c>
      <c r="D80" s="446">
        <f t="shared" si="31"/>
        <v>8.1220430499280712E-6</v>
      </c>
      <c r="E80" s="295">
        <f>M.s1CA*Molweight</f>
        <v>54267.112270460661</v>
      </c>
      <c r="F80" s="446">
        <f t="shared" si="32"/>
        <v>7.9991574323585306E-6</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58588040.126638025</v>
      </c>
      <c r="D81" s="446">
        <f t="shared" si="31"/>
        <v>8.6360769353378761E-3</v>
      </c>
      <c r="E81" s="295">
        <f>M.s1CP*Molweight</f>
        <v>5063330.0886597792</v>
      </c>
      <c r="F81" s="446">
        <f t="shared" si="32"/>
        <v>7.4635212408813206E-4</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6644937993.8284702</v>
      </c>
      <c r="D83" s="446">
        <f t="shared" ref="D83:D89" si="33">C83/$C$103</f>
        <v>0.97948652355006505</v>
      </c>
      <c r="E83" s="295">
        <f>SUM(E84,E87:E89)</f>
        <v>24871203.108166374</v>
      </c>
      <c r="F83" s="446">
        <f t="shared" ref="F83:F89" si="34">E83/$C$103</f>
        <v>3.6661001639971512E-3</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308993.89860679104</v>
      </c>
      <c r="D84" s="446">
        <f t="shared" si="33"/>
        <v>4.5546754510823158E-5</v>
      </c>
      <c r="E84" s="295">
        <f>M.s2C*Molweight</f>
        <v>1156.5269712138916</v>
      </c>
      <c r="F84" s="446">
        <f t="shared" si="34"/>
        <v>1.7047602001377269E-7</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2046.3172093164969</v>
      </c>
      <c r="D85" s="446">
        <f t="shared" si="33"/>
        <v>3.0163413583326591E-7</v>
      </c>
      <c r="E85" s="295">
        <f>E84*FRw.s2C</f>
        <v>7.6591190146615338</v>
      </c>
      <c r="F85" s="446">
        <f t="shared" si="34"/>
        <v>1.1289802649918721E-9</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306947.58139747451</v>
      </c>
      <c r="D86" s="446">
        <f t="shared" si="33"/>
        <v>4.5245120374989888E-5</v>
      </c>
      <c r="E86" s="295">
        <f>E84*FRs.s2C</f>
        <v>1148.8678521992299</v>
      </c>
      <c r="F86" s="446">
        <f t="shared" si="34"/>
        <v>1.693470397487808E-7</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2.5699904742127764</v>
      </c>
      <c r="D87" s="446">
        <f t="shared" si="33"/>
        <v>3.7882536112171211E-10</v>
      </c>
      <c r="E87" s="295">
        <f>M.s2CS*Molweight</f>
        <v>7.4732421051270067E-3</v>
      </c>
      <c r="F87" s="446">
        <f t="shared" si="34"/>
        <v>1.1015813745737379E-12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4084562.3101451769</v>
      </c>
      <c r="D88" s="446">
        <f t="shared" si="33"/>
        <v>6.0207841534465291E-4</v>
      </c>
      <c r="E88" s="295">
        <f>M.s2CA*Molweight</f>
        <v>265025.03773076902</v>
      </c>
      <c r="F88" s="446">
        <f t="shared" si="34"/>
        <v>3.9065594457274129E-5</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6640544435.0497274</v>
      </c>
      <c r="D89" s="446">
        <f t="shared" si="33"/>
        <v>0.97883889800138424</v>
      </c>
      <c r="E89" s="295">
        <f>M.s2CP*Molweight</f>
        <v>24605021.535991151</v>
      </c>
      <c r="F89" s="446">
        <f t="shared" si="34"/>
        <v>3.6268640924182823E-3</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774.35809420535611</v>
      </c>
      <c r="AI90" s="980" t="s">
        <v>4750</v>
      </c>
      <c r="AJ90" s="968">
        <f>AH39</f>
        <v>1.9230303553740002</v>
      </c>
      <c r="AK90" s="980" t="s">
        <v>4750</v>
      </c>
      <c r="AL90" s="968">
        <f>AI39</f>
        <v>2.4576472630217423E-7</v>
      </c>
      <c r="AM90" s="980" t="s">
        <v>4750</v>
      </c>
      <c r="AN90" s="969">
        <f>AJ39</f>
        <v>1.2081738621146339E-2</v>
      </c>
    </row>
    <row r="91" spans="1:40" ht="12.75" customHeight="1" x14ac:dyDescent="0.3">
      <c r="A91" s="17"/>
      <c r="B91" s="104" t="s">
        <v>241</v>
      </c>
      <c r="C91" s="295">
        <f>SUM(C92,C95:C97)</f>
        <v>21720141.450388778</v>
      </c>
      <c r="D91" s="446">
        <f t="shared" ref="D91:D97" si="35">C91/$C$103</f>
        <v>3.201622928613613E-3</v>
      </c>
      <c r="E91" s="295">
        <f>SUM(E92,E95:E97)</f>
        <v>1895446.4812216421</v>
      </c>
      <c r="F91" s="446">
        <f t="shared" ref="F91:F97" si="36">E91/$C$103</f>
        <v>2.79395275951602E-4</v>
      </c>
      <c r="G91" s="296">
        <f>SUM(G92,G95:G97)</f>
        <v>654149.48129965132</v>
      </c>
      <c r="H91" s="446">
        <f t="shared" ref="H91:H97" si="37">G91/$G$103</f>
        <v>3.3708052350337264E-8</v>
      </c>
      <c r="I91" s="296">
        <f>SUM(I92,I95:I97)</f>
        <v>73143.285415644874</v>
      </c>
      <c r="J91" s="446">
        <f t="shared" ref="J91:J97" si="38">I91/$I$103</f>
        <v>5.6933893455671359E-9</v>
      </c>
      <c r="K91" s="296">
        <f>SUM(K92,K95:K97)</f>
        <v>28856.669212259727</v>
      </c>
      <c r="L91" s="461">
        <f t="shared" ref="L91:L97" si="39">K91/$K$103</f>
        <v>6.0293727441282279E-10</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125758.6771454909</v>
      </c>
      <c r="AI91" s="980" t="s">
        <v>4751</v>
      </c>
      <c r="AJ91" s="968">
        <f>AH40</f>
        <v>8973132129.1610565</v>
      </c>
      <c r="AK91" s="980" t="s">
        <v>4751</v>
      </c>
      <c r="AL91" s="968">
        <f>AI40</f>
        <v>224839020.29473048</v>
      </c>
      <c r="AM91" s="980" t="s">
        <v>4751</v>
      </c>
      <c r="AN91" s="969">
        <f>AJ40</f>
        <v>339391.08047177066</v>
      </c>
    </row>
    <row r="92" spans="1:40" ht="12.75" customHeight="1" x14ac:dyDescent="0.3">
      <c r="A92" s="17"/>
      <c r="B92" s="443" t="s">
        <v>140</v>
      </c>
      <c r="C92" s="295">
        <f>M.s3R*Molweight</f>
        <v>459.61668410294777</v>
      </c>
      <c r="D92" s="446">
        <f t="shared" si="35"/>
        <v>6.7749066807804702E-8</v>
      </c>
      <c r="E92" s="295">
        <f>M.s3C*Molweight</f>
        <v>40.109261198895375</v>
      </c>
      <c r="F92" s="446">
        <f t="shared" si="36"/>
        <v>5.9122418975700184E-9</v>
      </c>
      <c r="G92" s="296">
        <f>M.sMD*Molweight</f>
        <v>13.842363758323366</v>
      </c>
      <c r="H92" s="446">
        <f t="shared" si="37"/>
        <v>7.1329128212552475E-13</v>
      </c>
      <c r="I92" s="296">
        <f>M.sAD*Molweight</f>
        <v>4.2940608228654202</v>
      </c>
      <c r="J92" s="446">
        <f t="shared" si="38"/>
        <v>3.3424476353765231E-13</v>
      </c>
      <c r="K92" s="296">
        <f>M.sTD*Molweight</f>
        <v>0.32961151311952513</v>
      </c>
      <c r="L92" s="461">
        <f t="shared" si="39"/>
        <v>6.8869718079223246E-15</v>
      </c>
      <c r="M92" s="166"/>
      <c r="N92" s="156"/>
      <c r="O92" s="11"/>
      <c r="P92" s="11"/>
      <c r="Q92" s="11"/>
      <c r="R92" s="11"/>
      <c r="S92" s="11"/>
      <c r="T92" s="11"/>
      <c r="U92" s="11"/>
      <c r="V92" s="11"/>
      <c r="W92" s="11"/>
      <c r="X92" s="11"/>
      <c r="Y92" s="11"/>
      <c r="Z92" s="11"/>
      <c r="AA92" s="11"/>
      <c r="AB92" s="11"/>
      <c r="AC92" s="11"/>
      <c r="AD92" s="11"/>
      <c r="AE92" s="11"/>
      <c r="AF92" s="981"/>
      <c r="AG92" s="982" t="s">
        <v>4752</v>
      </c>
      <c r="AH92" s="970">
        <f>AG41</f>
        <v>5.507042956663974</v>
      </c>
      <c r="AI92" s="982" t="s">
        <v>4752</v>
      </c>
      <c r="AJ92" s="970">
        <f>AH41</f>
        <v>352043.50525000569</v>
      </c>
      <c r="AK92" s="982" t="s">
        <v>4752</v>
      </c>
      <c r="AL92" s="970">
        <f>AI41</f>
        <v>5418674.789044952</v>
      </c>
      <c r="AM92" s="982" t="s">
        <v>4752</v>
      </c>
      <c r="AN92" s="971">
        <f>AJ41</f>
        <v>31543659.064895291</v>
      </c>
    </row>
    <row r="93" spans="1:40" ht="12.75" customHeight="1" x14ac:dyDescent="0.3">
      <c r="A93" s="17"/>
      <c r="B93" s="159" t="s">
        <v>239</v>
      </c>
      <c r="C93" s="295">
        <f>C92*FRwD.s3R</f>
        <v>3.0438191000195216</v>
      </c>
      <c r="D93" s="446">
        <f t="shared" si="35"/>
        <v>4.4866931660797817E-10</v>
      </c>
      <c r="E93" s="295">
        <f>E92*FRw.s3C</f>
        <v>0.26562424635030052</v>
      </c>
      <c r="F93" s="446">
        <f t="shared" si="36"/>
        <v>3.915391985145708E-11</v>
      </c>
      <c r="G93" s="296">
        <f>FRw.sM*G92</f>
        <v>9.1671283167704412E-2</v>
      </c>
      <c r="H93" s="446">
        <f t="shared" si="37"/>
        <v>4.7237833253346007E-15</v>
      </c>
      <c r="I93" s="296">
        <f>FRw.sA*I92</f>
        <v>2.8437488893148479E-2</v>
      </c>
      <c r="J93" s="446">
        <f t="shared" si="38"/>
        <v>2.2135414803818034E-15</v>
      </c>
      <c r="K93" s="296">
        <f>FRw.sT*K92</f>
        <v>2.182857702778312E-3</v>
      </c>
      <c r="L93" s="461">
        <f t="shared" si="39"/>
        <v>4.5609084820677644E-17</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456.57286500292821</v>
      </c>
      <c r="D94" s="446">
        <f t="shared" si="35"/>
        <v>6.730039749119672E-8</v>
      </c>
      <c r="E94" s="295">
        <f>E92*FRs.s3C</f>
        <v>39.843636952545076</v>
      </c>
      <c r="F94" s="446">
        <f t="shared" si="36"/>
        <v>5.8730879777185616E-9</v>
      </c>
      <c r="G94" s="296">
        <f>(1-FRw.sM)*G92</f>
        <v>13.750692475155661</v>
      </c>
      <c r="H94" s="446">
        <f t="shared" si="37"/>
        <v>7.0856749880019012E-13</v>
      </c>
      <c r="I94" s="296">
        <f>(1-FRw.sA)*I92</f>
        <v>4.2656233339722718</v>
      </c>
      <c r="J94" s="446">
        <f t="shared" si="38"/>
        <v>3.3203122205727049E-13</v>
      </c>
      <c r="K94" s="296">
        <f>(1-FRw.sT)*K92</f>
        <v>0.32742865541674682</v>
      </c>
      <c r="L94" s="461">
        <f t="shared" si="39"/>
        <v>6.8413627231016472E-15</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1.6052113989415549E-2</v>
      </c>
      <c r="D95" s="446">
        <f t="shared" si="35"/>
        <v>2.3661363494625056E-12</v>
      </c>
      <c r="E95" s="295">
        <f>M.s3CS*Molweight</f>
        <v>1.2455395989241437E-3</v>
      </c>
      <c r="F95" s="446">
        <f t="shared" si="36"/>
        <v>1.835967849251904E-13</v>
      </c>
      <c r="G95" s="296">
        <f>M.sMS*Molweight</f>
        <v>3.0402418325802178E-4</v>
      </c>
      <c r="H95" s="446">
        <f t="shared" si="37"/>
        <v>1.5666240481715705E-17</v>
      </c>
      <c r="I95" s="296">
        <f>M.sAS*Molweight</f>
        <v>1.579662053775206E-6</v>
      </c>
      <c r="J95" s="446">
        <f t="shared" si="38"/>
        <v>1.2295908032368449E-19</v>
      </c>
      <c r="K95" s="296">
        <f>M.sTS*Molweight</f>
        <v>2.1051072656740874E-6</v>
      </c>
      <c r="L95" s="461">
        <f t="shared" si="39"/>
        <v>4.3984550946473254E-20</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20407.696675512583</v>
      </c>
      <c r="D96" s="446">
        <f t="shared" si="35"/>
        <v>3.0081640925659523E-6</v>
      </c>
      <c r="E96" s="295">
        <f>M.s3CA*Molweight</f>
        <v>20098.930470540978</v>
      </c>
      <c r="F96" s="446">
        <f t="shared" si="36"/>
        <v>2.9626509008735288E-6</v>
      </c>
      <c r="G96" s="296">
        <f>M.sMA*Molweight</f>
        <v>160195.93339730063</v>
      </c>
      <c r="H96" s="446">
        <f t="shared" si="37"/>
        <v>8.2548302240322047E-9</v>
      </c>
      <c r="I96" s="296">
        <f>M.sAA*Molweight</f>
        <v>70542.793666353944</v>
      </c>
      <c r="J96" s="446">
        <f t="shared" si="38"/>
        <v>5.4909700539737423E-9</v>
      </c>
      <c r="K96" s="296">
        <f>M.sTA*Molweight</f>
        <v>25173.890389832908</v>
      </c>
      <c r="L96" s="461">
        <f t="shared" si="39"/>
        <v>5.2598852439853072E-10</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21699274.120977048</v>
      </c>
      <c r="D97" s="446">
        <f t="shared" si="35"/>
        <v>3.1985470130881026E-3</v>
      </c>
      <c r="E97" s="295">
        <f>M.s3CP*Molweight</f>
        <v>1875307.4402443627</v>
      </c>
      <c r="F97" s="446">
        <f t="shared" si="36"/>
        <v>2.7642671262523413E-4</v>
      </c>
      <c r="G97" s="296">
        <f>M.sMP*Molweight</f>
        <v>493939.70523456822</v>
      </c>
      <c r="H97" s="446">
        <f t="shared" si="37"/>
        <v>2.5452508819356693E-8</v>
      </c>
      <c r="I97" s="296">
        <f>M.sAP*Molweight</f>
        <v>2596.1976868884144</v>
      </c>
      <c r="J97" s="446">
        <f t="shared" si="38"/>
        <v>2.0208504670689769E-10</v>
      </c>
      <c r="K97" s="296">
        <f>M.sTP*Molweight</f>
        <v>3682.4492088085944</v>
      </c>
      <c r="L97" s="461">
        <f t="shared" si="39"/>
        <v>7.6941862998499615E-11</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1834591.2539376295</v>
      </c>
      <c r="D99" s="446">
        <f>C99/$C$103</f>
        <v>2.7042500789678693E-4</v>
      </c>
      <c r="E99" s="124">
        <f>SUM(E12,E20,E28,E36,E44,E52,E68,E76,E84,E92)</f>
        <v>111422177371.03821</v>
      </c>
      <c r="F99" s="446">
        <f>E99/$E$103</f>
        <v>0.92345508042467261</v>
      </c>
      <c r="G99" s="124">
        <f>SUM(G12,G52,G60,G68,G92)</f>
        <v>17951263819284.973</v>
      </c>
      <c r="H99" s="446">
        <f>G99/$G$103</f>
        <v>0.92502120367498886</v>
      </c>
      <c r="I99" s="124">
        <f>SUM(I12,I52,I60,I68,I92)</f>
        <v>11885425452771.432</v>
      </c>
      <c r="J99" s="446">
        <f>I99/$I$103</f>
        <v>0.92514786908748159</v>
      </c>
      <c r="K99" s="124">
        <f>SUM(K12,K52,K60,K68,K92)</f>
        <v>44265085282265.203</v>
      </c>
      <c r="L99" s="461">
        <f>K99/$K$103</f>
        <v>0.92488393845542338</v>
      </c>
      <c r="M99" s="166"/>
      <c r="N99" s="156"/>
    </row>
    <row r="100" spans="1:14" ht="12.75" customHeight="1" x14ac:dyDescent="0.3">
      <c r="A100" s="304"/>
      <c r="B100" s="455" t="s">
        <v>243</v>
      </c>
      <c r="C100" s="459">
        <f>SUM(C15,C23,C31,C39,C47,C55,C71,C79,C87,C95)</f>
        <v>9665.693779164616</v>
      </c>
      <c r="D100" s="446">
        <f>C100/$C$103</f>
        <v>1.4247562289138538E-6</v>
      </c>
      <c r="E100" s="459">
        <f>SUM(E15,E23,E31,E39,E47,E55,E71,E79,E87,E95)</f>
        <v>776.29320654511582</v>
      </c>
      <c r="F100" s="446">
        <f>E100/$E$103</f>
        <v>6.4338350084117298E-9</v>
      </c>
      <c r="G100" s="459">
        <f>SUM(G15,G55,G71,G63,G95)</f>
        <v>18.320499577950862</v>
      </c>
      <c r="H100" s="446">
        <f>G100/$G$103</f>
        <v>9.4404776967944155E-13</v>
      </c>
      <c r="I100" s="459">
        <f>SUM(I15,I55,I71,I63,I95)</f>
        <v>0.1252613544229926</v>
      </c>
      <c r="J100" s="446">
        <f>I100/$I$103</f>
        <v>9.7501999893845936E-15</v>
      </c>
      <c r="K100" s="459">
        <f>SUM(K15,K55,K71,K63,K95)</f>
        <v>0.20282086660537657</v>
      </c>
      <c r="L100" s="461">
        <f>K100/$K$103</f>
        <v>4.2377815542598526E-15</v>
      </c>
      <c r="M100" s="166"/>
      <c r="N100" s="156"/>
    </row>
    <row r="101" spans="1:14" ht="12.75" customHeight="1" x14ac:dyDescent="0.3">
      <c r="A101" s="304"/>
      <c r="B101" s="456" t="s">
        <v>244</v>
      </c>
      <c r="C101" s="459">
        <f>SUM(C16,C24,C32,C40,C48,C56,C72,C80,C88,C96)</f>
        <v>25907307.759958718</v>
      </c>
      <c r="D101" s="446">
        <f>C101/$C$103</f>
        <v>3.8188255234152049E-3</v>
      </c>
      <c r="E101" s="459">
        <f>SUM(E16,E24,E32,E40,E48,E56,E72,E80,E88,E96)</f>
        <v>9198436299.2134056</v>
      </c>
      <c r="F101" s="446">
        <f>E101/$E$103</f>
        <v>7.6235655530092566E-2</v>
      </c>
      <c r="G101" s="459">
        <f>SUM(G16,G56,G64,G72,G96)</f>
        <v>1454861636368.1746</v>
      </c>
      <c r="H101" s="446">
        <f>G101/$G$103</f>
        <v>7.4968418691952421E-2</v>
      </c>
      <c r="I101" s="459">
        <f>SUM(I16,I56,I64,I72,I96)</f>
        <v>961564063077.6886</v>
      </c>
      <c r="J101" s="446">
        <f>I101/$I$103</f>
        <v>7.4847042496067384E-2</v>
      </c>
      <c r="K101" s="459">
        <f>SUM(K16,K56,K64,K72,K96)</f>
        <v>3593979306380.0522</v>
      </c>
      <c r="L101" s="461">
        <f>K101/$K$103</f>
        <v>7.5093354376611562E-2</v>
      </c>
      <c r="M101" s="166"/>
      <c r="N101" s="156"/>
    </row>
    <row r="102" spans="1:14" ht="12.75" customHeight="1" x14ac:dyDescent="0.3">
      <c r="A102" s="304"/>
      <c r="B102" s="456" t="s">
        <v>246</v>
      </c>
      <c r="C102" s="459">
        <f>SUM(C17,C25,C33,C41,C49,C57,C73,C81,C89,C97)</f>
        <v>6756351977.3650227</v>
      </c>
      <c r="D102" s="446">
        <f>C102/$C$103</f>
        <v>0.99590932471245908</v>
      </c>
      <c r="E102" s="459">
        <f>SUM(E17,E25,E33,E41,E49,E57,E73,E81,E89,E97)</f>
        <v>37314382.866233207</v>
      </c>
      <c r="F102" s="446">
        <f>E102/$E$103</f>
        <v>3.0925761139982054E-4</v>
      </c>
      <c r="G102" s="459">
        <f>SUM(G17,G57,G65,G73,G97)</f>
        <v>201391720.71778598</v>
      </c>
      <c r="H102" s="446">
        <f>G102/$G$103</f>
        <v>1.0377632114593025E-5</v>
      </c>
      <c r="I102" s="459">
        <f>SUM(I17,I57,I65,I73,I97)</f>
        <v>65371165.309438176</v>
      </c>
      <c r="J102" s="446">
        <f>I102/$I$103</f>
        <v>5.0884164413054334E-6</v>
      </c>
      <c r="K102" s="459">
        <f>SUM(K17,K57,K65,K73,K97)</f>
        <v>1086768495.4906473</v>
      </c>
      <c r="L102" s="461">
        <f>K102/$K$103</f>
        <v>2.2707167960690045E-5</v>
      </c>
      <c r="M102" s="166"/>
      <c r="N102" s="156"/>
    </row>
    <row r="103" spans="1:14" ht="12.75" customHeight="1" thickBot="1" x14ac:dyDescent="0.35">
      <c r="A103" s="304"/>
      <c r="B103" s="482" t="s">
        <v>247</v>
      </c>
      <c r="C103" s="485">
        <f>SUM(C99:C102)</f>
        <v>6784103542.0726986</v>
      </c>
      <c r="D103" s="485"/>
      <c r="E103" s="485">
        <f>SUM(E99:E102)</f>
        <v>120657928829.41106</v>
      </c>
      <c r="F103" s="485"/>
      <c r="G103" s="485">
        <f>SUM(G99:G102)</f>
        <v>19406326847392.188</v>
      </c>
      <c r="H103" s="485"/>
      <c r="I103" s="485">
        <f>SUM(I99:I102)</f>
        <v>12847054887014.555</v>
      </c>
      <c r="J103" s="485"/>
      <c r="K103" s="485">
        <f>SUM(K99:K102)</f>
        <v>47860151357140.953</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2024-04-25T12:36:29Z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