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filterPrivacy="1" showInkAnnotation="0" codeName="ThisWorkbook"/>
  <xr:revisionPtr revIDLastSave="74" documentId="13_ncr:1_{62EDE0D4-179B-4937-8F1F-6C1FA4B78B9E}" xr6:coauthVersionLast="47" xr6:coauthVersionMax="47" xr10:uidLastSave="{2F04FB3A-A985-487B-9D15-CCBA1A0969C0}"/>
  <bookViews>
    <workbookView xWindow="-11250" yWindow="-21720" windowWidth="51840" windowHeight="2124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3" i="2" l="1"/>
  <c r="J396" i="2"/>
  <c r="Z28" i="5"/>
  <c r="Y28" i="5"/>
  <c r="X28" i="5"/>
  <c r="Z27" i="5"/>
  <c r="Y27" i="5"/>
  <c r="X27" i="5"/>
  <c r="Z26" i="5"/>
  <c r="Y26" i="5"/>
  <c r="X26" i="5"/>
  <c r="K481" i="10"/>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L85" i="2" s="1"/>
  <c r="K78" i="2"/>
  <c r="K98" i="2"/>
  <c r="K88" i="2"/>
  <c r="K81" i="2"/>
  <c r="L81" i="2" s="1"/>
  <c r="K105" i="2" s="1"/>
  <c r="K90" i="2"/>
  <c r="K94" i="2"/>
  <c r="K82" i="2"/>
  <c r="L82" i="2" s="1"/>
  <c r="K95" i="2"/>
  <c r="K93"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3" i="10"/>
  <c r="L523" i="10" s="1"/>
  <c r="K525" i="10"/>
  <c r="L525" i="10" s="1"/>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K864" i="10"/>
  <c r="L864" i="10" s="1"/>
  <c r="K845" i="10"/>
  <c r="L845" i="10" s="1"/>
  <c r="K542" i="10"/>
  <c r="L542" i="10" s="1"/>
  <c r="K221" i="10"/>
  <c r="L221" i="10" s="1"/>
  <c r="K335" i="8"/>
  <c r="L335" i="8" s="1"/>
  <c r="K322" i="8"/>
  <c r="L322" i="8" s="1"/>
  <c r="K300" i="8"/>
  <c r="L300" i="8" s="1"/>
  <c r="K349" i="8"/>
  <c r="L349" i="8" s="1"/>
  <c r="K202" i="10"/>
  <c r="L202" i="10" s="1"/>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L261" i="8" s="1"/>
  <c r="K247" i="8" s="1"/>
  <c r="N377" i="2"/>
  <c r="K377" i="2"/>
  <c r="L377" i="2" s="1"/>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L379" i="2" s="1"/>
  <c r="K233" i="8" s="1"/>
  <c r="L233" i="8" s="1"/>
  <c r="K387" i="2"/>
  <c r="K299" i="9"/>
  <c r="L299" i="9" s="1"/>
  <c r="K369" i="8"/>
  <c r="L369" i="8" s="1"/>
  <c r="BS25" i="3"/>
  <c r="AC49" i="3"/>
  <c r="AT51" i="12"/>
  <c r="AP47" i="12"/>
  <c r="AO46" i="12"/>
  <c r="AS50" i="12"/>
  <c r="AK42" i="12"/>
  <c r="AL43" i="12"/>
  <c r="K311" i="9"/>
  <c r="L311" i="9" s="1"/>
  <c r="CE89" i="12" s="1"/>
  <c r="K244" i="10"/>
  <c r="L244" i="10"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L247" i="8"/>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375" i="8" s="1"/>
  <c r="L375"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82" i="8"/>
  <c r="L382"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s="1"/>
  <c r="K460" i="8" s="1"/>
  <c r="L460" i="8" s="1"/>
  <c r="K392" i="8"/>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86" i="8" l="1"/>
  <c r="L386" i="8" s="1"/>
  <c r="K387" i="8" s="1"/>
  <c r="L387" i="8" s="1"/>
  <c r="K377" i="8" s="1"/>
  <c r="K439" i="8"/>
  <c r="L439" i="8" s="1"/>
  <c r="K436" i="8" s="1"/>
  <c r="L436" i="8" s="1"/>
  <c r="K427" i="8"/>
  <c r="L427" i="8" s="1"/>
  <c r="K424" i="8" s="1"/>
  <c r="L424" i="8" s="1"/>
  <c r="K433" i="8"/>
  <c r="L433" i="8" s="1"/>
  <c r="K430" i="8" s="1"/>
  <c r="L430" i="8" s="1"/>
  <c r="K371" i="10"/>
  <c r="L371" i="10" s="1"/>
  <c r="K370" i="10"/>
  <c r="L370" i="10" s="1"/>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L176" i="8" s="1"/>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128" i="8"/>
  <c r="L128" i="8" s="1"/>
  <c r="L115" i="8"/>
  <c r="K9" i="12" s="1"/>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K49" i="10"/>
  <c r="L49" i="10" s="1"/>
  <c r="K48" i="10"/>
  <c r="L48" i="10" s="1"/>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L524" i="10" s="1"/>
  <c r="K516" i="10" s="1"/>
  <c r="K846" i="10"/>
  <c r="L84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40" i="10"/>
  <c r="L540" i="10" s="1"/>
  <c r="K219" i="10"/>
  <c r="L219" i="10" s="1"/>
  <c r="K215" i="10"/>
  <c r="L215" i="10" s="1"/>
  <c r="K858" i="10"/>
  <c r="L858" i="10" s="1"/>
  <c r="K862" i="10"/>
  <c r="L862"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535" i="10" l="1"/>
  <c r="L535" i="10" s="1"/>
  <c r="K532" i="10" s="1"/>
  <c r="L532" i="10" s="1"/>
  <c r="EC140" i="12" s="1"/>
  <c r="K214" i="10"/>
  <c r="L214" i="10" s="1"/>
  <c r="K211" i="10" s="1"/>
  <c r="L211" i="10" s="1"/>
  <c r="DF117" i="12" s="1"/>
  <c r="DF115" i="12" s="1"/>
  <c r="K857" i="10"/>
  <c r="L857" i="10" s="1"/>
  <c r="K854" i="10" s="1"/>
  <c r="L854" i="10" s="1"/>
  <c r="EZ163" i="12" s="1"/>
  <c r="K837" i="10"/>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AA20" i="12"/>
  <c r="EV153" i="12"/>
  <c r="EW154" i="12"/>
  <c r="EX155" i="12"/>
  <c r="J15" i="12"/>
  <c r="X30" i="12"/>
  <c r="BF75" i="12"/>
  <c r="B695" i="11"/>
  <c r="B421" i="11"/>
  <c r="B419" i="11"/>
  <c r="B510" i="11"/>
  <c r="B921" i="11"/>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<sst xmlns="http://schemas.openxmlformats.org/spreadsheetml/2006/main" count="26939" uniqueCount="4780">
  <si>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</si>
  <si>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</si>
  <si>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</si>
  <si>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</si>
  <si>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</si>
  <si>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</si>
  <si>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</si>
  <si>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</si>
  <si>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</si>
  <si>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</si>
  <si>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</si>
  <si>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</si>
  <si>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</si>
  <si>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</si>
  <si>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</si>
  <si>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</si>
  <si>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</si>
  <si>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</si>
  <si>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</si>
  <si>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</si>
  <si>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</si>
  <si>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</si>
  <si>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</si>
  <si>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</si>
  <si>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</si>
  <si>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</si>
  <si>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</si>
  <si>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</si>
  <si>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</si>
  <si>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</si>
  <si>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</si>
  <si>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</si>
  <si>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</si>
  <si>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</si>
  <si>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</si>
  <si>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</si>
  <si>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</si>
  <si>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</si>
  <si>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</si>
  <si>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</si>
  <si>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</si>
  <si>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</si>
  <si>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</si>
  <si>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</si>
  <si>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</si>
  <si>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</si>
  <si>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</si>
  <si>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</si>
  <si>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</si>
  <si>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</si>
  <si>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</si>
  <si>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</si>
  <si>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</si>
  <si>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</si>
  <si>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</si>
  <si>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</si>
  <si>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</si>
  <si>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</si>
  <si>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</si>
  <si>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</si>
  <si>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</si>
  <si>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</si>
  <si>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</si>
  <si>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</si>
  <si>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</si>
  <si>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</si>
  <si>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</si>
  <si>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</si>
  <si>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</si>
  <si>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</si>
  <si>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</si>
  <si>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</si>
  <si>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</si>
  <si>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</si>
  <si>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</si>
  <si>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</si>
  <si>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</si>
  <si>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</si>
  <si>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</si>
  <si>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</si>
  <si>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</si>
  <si>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</si>
  <si>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</si>
  <si>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</si>
  <si>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</si>
  <si>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</si>
  <si>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</si>
  <si>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</si>
  <si>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</si>
  <si>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</si>
  <si>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</si>
  <si>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</si>
  <si>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</si>
  <si>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</si>
  <si>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</si>
  <si>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</si>
  <si>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</si>
  <si>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</si>
  <si>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</si>
  <si>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</si>
  <si>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</si>
  <si>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</si>
  <si>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</si>
  <si>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</si>
  <si>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</si>
  <si>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</si>
  <si>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</si>
  <si>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</si>
  <si>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</si>
  <si>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</si>
  <si>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</si>
  <si>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</si>
  <si>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</si>
  <si>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</si>
  <si>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</si>
  <si>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</si>
  <si>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</si>
  <si>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</si>
  <si>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</si>
  <si>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</si>
  <si>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</si>
  <si>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</si>
  <si>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</si>
  <si>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</si>
  <si>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</si>
  <si>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</si>
  <si>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</si>
  <si>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</si>
  <si>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</si>
  <si>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</si>
  <si>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</si>
  <si>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</si>
  <si>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</si>
  <si>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</si>
  <si>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</si>
  <si>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</si>
  <si>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</si>
  <si>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</si>
  <si>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</si>
  <si>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</si>
  <si>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</si>
  <si>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</si>
  <si>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</si>
  <si>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</si>
  <si>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</si>
  <si>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</si>
  <si>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</si>
  <si>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</si>
  <si>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</si>
  <si>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</si>
  <si>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</si>
  <si>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</si>
  <si>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</si>
  <si>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</si>
  <si>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</si>
  <si>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</si>
  <si>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</si>
  <si>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</si>
  <si>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</si>
  <si>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</si>
  <si>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</si>
  <si>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</si>
  <si>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</si>
  <si>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</si>
  <si>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</si>
  <si>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</si>
  <si>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</si>
  <si>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</si>
  <si>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</si>
  <si>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</si>
  <si>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</si>
  <si>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</si>
  <si>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</si>
  <si>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</si>
  <si>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</si>
  <si>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</si>
  <si>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</si>
  <si>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</si>
  <si>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</si>
  <si>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</si>
  <si>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</si>
  <si>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</si>
  <si>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</si>
  <si>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</si>
  <si>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</si>
  <si>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</si>
  <si>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</si>
  <si>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</si>
  <si>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</si>
  <si>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</si>
  <si>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</si>
  <si>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</si>
  <si>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</si>
  <si>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</si>
  <si>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</si>
  <si>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</si>
  <si>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</si>
  <si>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</si>
  <si>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</si>
  <si>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</si>
  <si>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</si>
  <si>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</si>
  <si>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</si>
  <si>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</si>
  <si>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</si>
  <si>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</si>
  <si>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</si>
  <si>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</si>
  <si>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</si>
  <si>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</si>
  <si>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</si>
  <si>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</si>
  <si>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</si>
  <si>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</si>
  <si>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</si>
  <si>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</si>
  <si>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</si>
  <si>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</si>
  <si>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</si>
  <si>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</si>
  <si>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</si>
  <si>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</si>
  <si>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</si>
  <si>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</si>
  <si>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</si>
  <si>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</si>
  <si>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</si>
  <si>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</si>
  <si>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</si>
  <si>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</si>
  <si>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</si>
  <si>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</si>
  <si>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</si>
  <si>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</si>
  <si>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</si>
  <si>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</si>
  <si>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</si>
  <si>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</si>
  <si>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</si>
  <si>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</si>
  <si>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</si>
  <si>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</si>
  <si>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</si>
  <si>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</si>
  <si>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</si>
  <si>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</si>
  <si>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</si>
  <si>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</si>
  <si>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</si>
  <si>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</si>
  <si>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</si>
  <si>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</si>
  <si>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</si>
  <si>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</si>
  <si>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</si>
  <si>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</si>
  <si>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</si>
  <si>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</si>
  <si>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</si>
  <si>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</si>
  <si>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</si>
  <si>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</si>
  <si>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</si>
  <si>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</si>
  <si>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</si>
  <si>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</si>
  <si>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</si>
  <si>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</si>
  <si>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</si>
  <si>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</si>
  <si>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</si>
  <si>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</si>
  <si>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</si>
  <si>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</si>
  <si>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</si>
  <si>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</si>
  <si>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</si>
  <si>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</si>
  <si>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</si>
  <si>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</si>
  <si>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</si>
  <si>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</si>
  <si>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</si>
  <si>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</si>
  <si>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</si>
  <si>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</si>
  <si>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</si>
  <si>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</si>
  <si>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</si>
  <si>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</si>
  <si>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</si>
  <si>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</si>
  <si>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</si>
  <si>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</si>
  <si>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</si>
  <si>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</si>
  <si>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</si>
  <si>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</si>
  <si>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</si>
  <si>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</si>
  <si>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</si>
  <si>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</si>
  <si>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</si>
  <si>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</si>
  <si>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</si>
  <si>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</si>
  <si>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</si>
  <si>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</si>
  <si>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</si>
  <si>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</si>
  <si>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</si>
  <si>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</si>
  <si>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</si>
  <si>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</si>
  <si>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</si>
  <si>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</si>
  <si>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</si>
  <si>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</si>
  <si>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</si>
  <si>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</si>
  <si>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</si>
  <si>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</si>
  <si>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</si>
  <si>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</si>
  <si>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</si>
  <si>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</si>
  <si>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</si>
  <si>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</si>
  <si>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</si>
  <si>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</si>
  <si>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</si>
  <si>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</si>
  <si>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</si>
  <si>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</si>
  <si>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</si>
  <si>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</si>
  <si>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</si>
  <si>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</si>
  <si>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</si>
  <si>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</si>
  <si>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</si>
  <si>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</si>
  <si>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</si>
  <si>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</si>
  <si>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</si>
  <si>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</si>
  <si>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</si>
  <si>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</si>
  <si>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</si>
  <si>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</si>
  <si>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</si>
  <si>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</si>
  <si>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</si>
  <si>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</si>
  <si>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</si>
  <si>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</si>
  <si>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</si>
  <si>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</si>
  <si>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</si>
  <si>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</si>
  <si>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</si>
  <si>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</si>
  <si>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</si>
  <si>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</si>
  <si>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</si>
  <si>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</si>
  <si>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</si>
  <si>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</si>
  <si>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</si>
  <si>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</si>
  <si>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</si>
  <si>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</si>
  <si>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</si>
  <si>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</si>
  <si>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</si>
  <si>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</si>
  <si>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</si>
  <si>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</si>
  <si>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</si>
  <si>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</si>
  <si>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</si>
  <si>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</si>
  <si>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</si>
  <si>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</si>
  <si>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</si>
  <si>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</si>
  <si>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</si>
  <si>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</si>
  <si>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</si>
  <si>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</si>
  <si>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</si>
  <si>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</si>
  <si>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</si>
  <si>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</si>
  <si>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</si>
  <si>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</si>
  <si>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</si>
  <si>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</si>
  <si>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</si>
  <si>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</si>
  <si>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</si>
  <si>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</si>
  <si>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</si>
  <si>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</si>
  <si>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</si>
  <si>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</si>
  <si>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</si>
  <si>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</si>
  <si>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</si>
  <si>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</si>
  <si>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</si>
  <si>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</si>
  <si>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</si>
  <si>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</si>
  <si>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</si>
  <si>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</si>
  <si>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</si>
  <si>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</si>
  <si>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</si>
  <si>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</si>
  <si>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</si>
  <si>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</si>
  <si>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</si>
  <si>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</si>
  <si>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</si>
  <si>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</si>
  <si>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</si>
  <si>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</si>
  <si>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</si>
  <si>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</si>
  <si>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</si>
  <si>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</si>
  <si>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</si>
  <si>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</si>
  <si>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</si>
  <si>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</si>
  <si>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</si>
  <si>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</si>
  <si>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</si>
  <si>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</si>
  <si>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</si>
  <si>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</si>
  <si>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</si>
  <si>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</si>
  <si>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</si>
  <si>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</si>
  <si>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</si>
  <si>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</si>
  <si>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</si>
  <si>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</si>
  <si>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</si>
  <si>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</si>
  <si>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</si>
  <si>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</si>
  <si>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</si>
  <si>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</si>
  <si>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</si>
  <si>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</si>
  <si>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</si>
  <si>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</si>
  <si>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</si>
  <si>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</si>
  <si>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</si>
  <si>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</si>
  <si>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</si>
  <si>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</si>
  <si>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</si>
  <si>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</si>
  <si>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</si>
  <si>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</si>
  <si>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</si>
  <si>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</si>
  <si>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</si>
  <si>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</si>
  <si>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</si>
  <si>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</si>
  <si>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</si>
  <si>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</si>
  <si>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</si>
  <si>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</si>
  <si>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</si>
  <si>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</si>
  <si>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</si>
  <si>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</si>
  <si>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</si>
  <si>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</si>
  <si>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</si>
  <si>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</si>
  <si>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</si>
  <si>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</si>
  <si>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</si>
  <si>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</si>
  <si>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</si>
  <si>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</si>
  <si>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</si>
  <si>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</si>
  <si>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</si>
  <si>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</si>
  <si>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</si>
  <si>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</si>
  <si>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</si>
  <si>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</si>
  <si>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</si>
  <si>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</si>
  <si>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</si>
  <si>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</si>
  <si>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</si>
  <si>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</si>
  <si>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</si>
  <si>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</si>
  <si>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</si>
  <si>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</si>
  <si>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</si>
  <si>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</si>
  <si>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</si>
  <si>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</si>
  <si>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</si>
  <si>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</si>
  <si>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</si>
  <si>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</si>
  <si>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</si>
  <si>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</si>
  <si>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</si>
  <si>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</si>
  <si>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</si>
  <si>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</si>
  <si>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</si>
  <si>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</si>
  <si>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</si>
  <si>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</si>
  <si>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</si>
  <si>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</si>
  <si>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</si>
  <si>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</si>
  <si>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</si>
  <si>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</si>
  <si>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</si>
  <si>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</si>
  <si>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</si>
  <si>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</si>
  <si>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</si>
  <si>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</si>
  <si>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</si>
  <si>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</si>
  <si>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</si>
  <si>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</si>
  <si>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</si>
  <si>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</si>
  <si>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</si>
  <si>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</si>
  <si>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</si>
  <si>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</si>
  <si>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</si>
  <si>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</si>
  <si>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</si>
  <si>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</si>
  <si>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</si>
  <si>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</si>
  <si>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</si>
  <si>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</si>
  <si>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</si>
  <si>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</si>
  <si>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</si>
  <si>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</si>
  <si>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</si>
  <si>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</si>
  <si>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</si>
  <si>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</si>
  <si>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</si>
  <si>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</si>
  <si>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</si>
  <si>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</si>
  <si>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</si>
  <si>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</si>
  <si>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</si>
  <si>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</si>
  <si>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</si>
  <si>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</si>
  <si>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</si>
  <si>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</si>
  <si>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</si>
  <si>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</si>
  <si>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</si>
  <si>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</si>
  <si>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</si>
  <si>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</si>
  <si>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</si>
  <si>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</si>
  <si>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</si>
  <si>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</si>
  <si>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</si>
  <si>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</si>
  <si>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</si>
  <si>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</si>
  <si>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</si>
  <si>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</si>
  <si>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</si>
  <si>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</si>
  <si>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</si>
  <si>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</si>
  <si>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</si>
  <si>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</si>
  <si>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</si>
  <si>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</si>
  <si>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</si>
  <si>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</si>
  <si>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</si>
  <si>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</si>
  <si>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</si>
  <si>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</si>
  <si>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</si>
  <si>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</si>
  <si>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</si>
  <si>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</si>
  <si>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</si>
  <si>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</si>
  <si>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</si>
  <si>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</si>
  <si>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</si>
  <si>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</si>
  <si>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</si>
  <si>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</si>
  <si>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</si>
  <si>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</si>
  <si>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</si>
  <si>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</si>
  <si>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</si>
  <si>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</si>
  <si>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</si>
  <si>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</si>
  <si>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</si>
  <si>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</si>
  <si>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</si>
  <si>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</si>
  <si>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</si>
  <si>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</si>
  <si>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</si>
  <si>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</si>
  <si>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</si>
  <si>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</si>
  <si>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</si>
  <si>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</si>
  <si>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</si>
  <si>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</si>
  <si>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</si>
  <si>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</si>
  <si>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</si>
  <si>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</si>
  <si>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</si>
  <si>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</si>
  <si>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</si>
  <si>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</si>
  <si>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</si>
  <si>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</si>
  <si>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</si>
  <si>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</si>
  <si>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</si>
  <si>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</si>
  <si>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</si>
  <si>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</si>
  <si>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</si>
  <si>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</si>
  <si>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</si>
  <si>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</si>
  <si>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</si>
  <si>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</si>
  <si>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</si>
  <si>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</si>
  <si>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</si>
  <si>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</si>
  <si>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</si>
  <si>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</si>
  <si>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</si>
  <si>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</si>
  <si>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</si>
  <si>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</si>
  <si>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</si>
  <si>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</si>
  <si>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</si>
  <si>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</si>
  <si>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</si>
  <si>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</si>
  <si>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</si>
  <si>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</si>
  <si>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</si>
  <si>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</si>
  <si>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</si>
  <si>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</si>
  <si>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</si>
  <si>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</si>
  <si>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</si>
  <si>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</si>
  <si>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</si>
  <si>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</si>
  <si>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</si>
  <si>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</si>
  <si>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</si>
  <si>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</si>
  <si>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</si>
  <si>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</si>
  <si>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</si>
  <si>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</si>
  <si>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</si>
  <si>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</si>
  <si>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</si>
  <si>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</si>
  <si>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</si>
  <si>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</si>
  <si>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</si>
  <si>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</si>
  <si>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</si>
  <si>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</si>
  <si>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</si>
  <si>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</si>
  <si>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</si>
  <si>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</si>
  <si>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</si>
  <si>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</si>
  <si>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</si>
  <si>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</si>
  <si>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</si>
  <si>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</si>
  <si>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</si>
  <si>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</si>
  <si>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</si>
  <si>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</si>
  <si>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</si>
  <si>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</si>
  <si>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</si>
  <si>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</si>
  <si>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</si>
  <si>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</si>
  <si>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</si>
  <si>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</si>
  <si>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</si>
  <si>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</si>
  <si>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</si>
  <si>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</si>
  <si>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</si>
  <si>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</si>
  <si>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</si>
  <si>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</si>
  <si>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</si>
  <si>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</si>
  <si>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</si>
  <si>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</si>
  <si>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</si>
  <si>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</si>
  <si>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</si>
  <si>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</si>
  <si>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</si>
  <si>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</si>
  <si>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</si>
  <si>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</si>
  <si>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</si>
  <si>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</si>
  <si>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</si>
  <si>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</si>
  <si>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</si>
  <si>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</si>
  <si>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</si>
  <si>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</si>
  <si>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</si>
  <si>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</si>
  <si>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</si>
  <si>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</si>
  <si>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</si>
  <si>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</si>
  <si>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</si>
  <si>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</si>
  <si>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</si>
  <si>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</si>
  <si>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</si>
  <si>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</si>
  <si>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</si>
  <si>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</si>
  <si>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</si>
  <si>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</si>
  <si>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</si>
  <si>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</si>
  <si>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</si>
  <si>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</si>
  <si>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</si>
  <si>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</si>
  <si>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</si>
  <si>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</si>
  <si>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</si>
  <si>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</si>
  <si>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</si>
  <si>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</si>
  <si>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</si>
  <si>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</si>
  <si>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</si>
  <si>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</si>
  <si>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</si>
  <si>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</si>
  <si>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</si>
  <si>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</si>
  <si>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</si>
  <si>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</si>
  <si>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</si>
  <si>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</si>
  <si>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</si>
  <si>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</si>
  <si>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</si>
  <si>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</si>
  <si>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</si>
  <si>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</si>
  <si>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</si>
  <si>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</si>
  <si>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</si>
  <si>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</si>
  <si>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</si>
  <si>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</si>
  <si>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</si>
  <si>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</si>
  <si>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</si>
  <si>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</si>
  <si>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</si>
  <si>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</si>
  <si>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</si>
  <si>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</si>
  <si>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</si>
  <si>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</si>
  <si>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</si>
  <si>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</si>
  <si>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</si>
  <si>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</si>
  <si>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</si>
  <si>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</si>
  <si>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</si>
  <si>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</si>
  <si>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</si>
  <si>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</si>
  <si>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</si>
  <si>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</si>
  <si>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</si>
  <si>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</si>
  <si>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</si>
  <si>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</si>
  <si>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</si>
  <si>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</si>
  <si>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</si>
  <si>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</si>
  <si>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</si>
  <si>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</si>
  <si>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</si>
  <si>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</si>
  <si>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</si>
  <si>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</si>
  <si>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</si>
  <si>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</si>
  <si>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</si>
  <si>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</si>
  <si>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</si>
  <si>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</si>
  <si>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</si>
  <si>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</si>
  <si>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</si>
  <si>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</si>
  <si>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</si>
  <si>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</si>
  <si>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</si>
  <si>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</si>
  <si>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</si>
  <si>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</si>
  <si>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</si>
  <si>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</si>
  <si>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</si>
  <si>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</si>
  <si>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</si>
  <si>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</si>
  <si>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</si>
  <si>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</si>
  <si>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</si>
  <si>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</si>
  <si>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</si>
  <si>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</si>
  <si>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</si>
  <si>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</si>
  <si>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</si>
  <si>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</si>
  <si>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</si>
  <si>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</si>
  <si>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</si>
  <si>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</si>
  <si>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</si>
  <si>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</si>
  <si>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</si>
  <si>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</si>
  <si>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</si>
  <si>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</si>
  <si>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</si>
  <si>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</si>
  <si>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</si>
  <si>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</si>
  <si>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</si>
  <si>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</si>
  <si>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</si>
  <si>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</si>
  <si>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</si>
  <si>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</si>
  <si>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</si>
  <si>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</si>
  <si>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</si>
  <si>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</si>
  <si>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</si>
  <si>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</si>
  <si>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</si>
  <si>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</si>
  <si>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</si>
  <si>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</si>
  <si>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</si>
  <si>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</si>
  <si>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</si>
  <si>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</si>
  <si>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</si>
  <si>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</si>
  <si>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</si>
  <si>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</si>
  <si>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</si>
  <si>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</si>
  <si>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</si>
  <si>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</si>
  <si>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</si>
  <si>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</si>
  <si>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</si>
  <si>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</si>
  <si>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</si>
  <si>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</si>
  <si>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</si>
  <si>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</si>
  <si>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</si>
  <si>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</si>
  <si>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</si>
  <si>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</si>
  <si>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</si>
  <si>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</si>
  <si>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</si>
  <si>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</si>
  <si>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</si>
  <si>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</si>
  <si>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</si>
  <si>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</si>
  <si>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</si>
  <si>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</si>
  <si>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</si>
  <si>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</si>
  <si>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</si>
  <si>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</si>
  <si>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</si>
  <si>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</si>
  <si>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</si>
  <si>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</si>
  <si>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</si>
  <si>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</si>
  <si>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</si>
  <si>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</si>
  <si>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</si>
  <si>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</si>
  <si>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</si>
  <si>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</si>
  <si>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</si>
  <si>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</si>
  <si>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</si>
  <si>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</si>
  <si>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</si>
  <si>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</si>
  <si>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</si>
  <si>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</si>
  <si>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</si>
  <si>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</si>
  <si>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</si>
  <si>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</si>
  <si>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</si>
  <si>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</si>
  <si>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</si>
  <si>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</si>
  <si>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</si>
  <si>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</si>
  <si>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</si>
  <si>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</si>
  <si>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</si>
  <si>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</si>
  <si>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</si>
  <si>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</si>
  <si>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</si>
  <si>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</si>
  <si>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</si>
  <si>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</si>
  <si>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</si>
  <si>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</si>
  <si>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</si>
  <si>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</si>
  <si>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</si>
  <si>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</si>
  <si>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</si>
  <si>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</si>
  <si>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</si>
  <si>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</si>
  <si>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</si>
  <si>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</si>
  <si>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</si>
  <si>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</si>
  <si>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</si>
  <si>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</si>
  <si>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</si>
  <si>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</si>
  <si>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</si>
  <si>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</si>
  <si>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</si>
  <si>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</si>
  <si>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</si>
  <si>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</si>
  <si>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</si>
  <si>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</si>
  <si>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</si>
  <si>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</si>
  <si>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</si>
  <si>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</si>
  <si>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</si>
  <si>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</si>
  <si>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</si>
  <si>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</si>
  <si>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</si>
  <si>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</si>
  <si>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</si>
  <si>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</si>
  <si>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</si>
  <si>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</si>
  <si>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</si>
  <si>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</si>
  <si>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</si>
  <si>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</si>
  <si>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</si>
  <si>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</si>
  <si>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</si>
  <si>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</si>
  <si>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</si>
  <si>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</si>
  <si>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</si>
  <si>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</si>
  <si>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</si>
  <si>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</si>
  <si>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</si>
  <si>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</si>
  <si>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</si>
  <si>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</si>
  <si>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</si>
  <si>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</si>
  <si>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</si>
  <si>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</si>
  <si>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</si>
  <si>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</si>
  <si>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</si>
  <si>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</si>
  <si>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</si>
  <si>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</si>
  <si>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</si>
  <si>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</si>
  <si>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</si>
  <si>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</si>
  <si>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</si>
  <si>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</si>
  <si>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</si>
  <si>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</si>
  <si>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</si>
  <si>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</si>
  <si>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</si>
  <si>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</si>
  <si>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</si>
  <si>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</si>
  <si>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</si>
  <si>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</si>
  <si>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</si>
  <si>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</si>
  <si>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</si>
  <si>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</si>
  <si>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</si>
  <si>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</si>
  <si>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</si>
  <si>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</si>
  <si>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</si>
  <si>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</si>
  <si>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</si>
  <si>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</si>
  <si>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</si>
  <si>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</si>
  <si>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</si>
  <si>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</si>
  <si>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</si>
  <si>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</si>
  <si>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</si>
  <si>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</si>
  <si>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</si>
  <si>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</si>
  <si>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</si>
  <si>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</si>
  <si>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</si>
  <si>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</si>
  <si>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</si>
  <si>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</si>
  <si>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</si>
  <si>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</si>
  <si>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</si>
  <si>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</si>
  <si>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</si>
  <si>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</si>
  <si>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</si>
  <si>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</si>
  <si>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</si>
  <si>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</si>
  <si>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</si>
  <si>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</si>
  <si>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</si>
  <si>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</si>
  <si>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</si>
  <si>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</si>
  <si>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</si>
  <si>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</si>
  <si>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</si>
  <si>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</si>
  <si>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</si>
  <si>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</si>
  <si>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</si>
  <si>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</si>
  <si>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</si>
  <si>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</si>
  <si>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</si>
  <si>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</si>
  <si>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</si>
  <si>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</si>
  <si>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</si>
  <si>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</si>
  <si>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</si>
  <si>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</si>
  <si>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</si>
  <si>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</si>
  <si>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</si>
  <si>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</si>
  <si>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</si>
  <si>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</si>
  <si>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</si>
  <si>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</si>
  <si>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</si>
  <si>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</si>
  <si>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</si>
  <si>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</si>
  <si>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</si>
  <si>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</si>
  <si>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</si>
  <si>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</si>
  <si>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</si>
  <si>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</si>
  <si>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</si>
  <si>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</si>
  <si>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</si>
  <si>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</si>
  <si>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</si>
  <si>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</si>
  <si>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</si>
  <si>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</si>
  <si>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</si>
  <si>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</si>
  <si>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</si>
  <si>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</si>
  <si>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</si>
  <si>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</si>
  <si>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</si>
  <si>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</si>
  <si>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</si>
  <si>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</si>
  <si>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</si>
  <si>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</si>
  <si>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</si>
  <si>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</si>
  <si>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</si>
  <si>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</si>
  <si>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</si>
  <si>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</si>
  <si>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</si>
  <si>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</si>
  <si>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</si>
  <si>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</si>
  <si>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</si>
  <si>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</si>
  <si>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</si>
  <si>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</si>
  <si>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</si>
  <si>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</si>
  <si>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</si>
  <si>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</si>
  <si>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</si>
  <si>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</si>
  <si>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</si>
  <si>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</si>
  <si>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</si>
  <si>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</si>
  <si>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</si>
  <si>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</si>
  <si>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</si>
  <si>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</si>
  <si>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</si>
  <si>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</si>
  <si>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</si>
  <si>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</si>
  <si>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</si>
  <si>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</si>
  <si>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</si>
  <si>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</si>
  <si>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</si>
  <si>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</si>
  <si>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</si>
  <si>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</si>
  <si>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</si>
  <si>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</si>
  <si>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</si>
  <si>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</si>
  <si>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</si>
  <si>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</si>
  <si>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</si>
  <si>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</si>
  <si>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</si>
  <si>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</si>
  <si>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</si>
  <si>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</si>
  <si>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</si>
  <si>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</si>
  <si>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</si>
  <si>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</si>
  <si>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</si>
  <si>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</si>
  <si>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</si>
  <si>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</si>
  <si>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</si>
  <si>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</si>
  <si>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</si>
  <si>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</si>
  <si>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</si>
  <si>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</si>
  <si>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</si>
  <si>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</si>
  <si>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</si>
  <si>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</si>
  <si>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</si>
  <si>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</si>
  <si>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</si>
  <si>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</si>
  <si>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</si>
  <si>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</si>
  <si>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</si>
  <si>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</si>
  <si>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</si>
  <si>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</si>
  <si>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</si>
  <si>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</si>
  <si>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</si>
  <si>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</si>
  <si>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</si>
  <si>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</si>
  <si>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</si>
  <si>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</si>
  <si>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</si>
  <si>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</si>
  <si>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</si>
  <si>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</si>
  <si>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</si>
  <si>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</si>
  <si>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</si>
  <si>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</si>
  <si>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</si>
  <si>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</si>
  <si>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</si>
  <si>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</si>
  <si>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</si>
  <si>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</si>
  <si>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</si>
  <si>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</si>
  <si>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</si>
  <si>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</si>
  <si>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</si>
  <si>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</si>
  <si>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</si>
  <si>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</si>
  <si>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</si>
  <si>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</si>
  <si>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</si>
  <si>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</si>
  <si>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</si>
  <si>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</si>
  <si>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</si>
  <si>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</si>
  <si>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</si>
  <si>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</si>
  <si>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</si>
  <si>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</si>
  <si>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</si>
  <si>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</si>
  <si>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</si>
  <si>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</si>
  <si>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</si>
  <si>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</si>
  <si>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</si>
  <si>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</si>
  <si>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</si>
  <si>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</si>
  <si>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</si>
  <si>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</si>
  <si>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</si>
  <si>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</si>
  <si>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</si>
  <si>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</si>
  <si>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</si>
  <si>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</si>
  <si>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</si>
  <si>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</si>
  <si>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</si>
  <si>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</si>
  <si>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</si>
  <si>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</si>
  <si>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</si>
  <si>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</si>
  <si>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</si>
  <si>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</si>
  <si>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</si>
  <si>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</si>
  <si>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</si>
  <si>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</si>
  <si>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</si>
  <si>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</si>
  <si>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</si>
  <si>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</si>
  <si>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</si>
  <si>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</si>
  <si>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</si>
  <si>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</si>
  <si>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</si>
  <si>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</si>
  <si>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</si>
  <si>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</si>
  <si>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</si>
  <si>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</si>
  <si>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</si>
  <si>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</si>
  <si>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</si>
  <si>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</si>
  <si>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</si>
  <si>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</si>
  <si>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</si>
  <si>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</si>
  <si>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</si>
  <si>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</si>
  <si>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</si>
  <si>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</si>
  <si>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</si>
  <si>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</si>
  <si>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</si>
  <si>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</si>
  <si>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</si>
  <si>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</si>
  <si>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</si>
  <si>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</si>
  <si>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</si>
  <si>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</si>
  <si>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</si>
  <si>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</si>
  <si>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</si>
  <si>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</si>
  <si>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</si>
  <si>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</si>
  <si>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</si>
  <si>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</si>
  <si>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</si>
  <si>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</si>
  <si>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</si>
  <si>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</si>
  <si>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</si>
  <si>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</si>
  <si>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</si>
  <si>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</si>
  <si>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</si>
  <si>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</si>
  <si>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</si>
  <si>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</si>
  <si>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</si>
  <si>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</si>
  <si>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</si>
  <si>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</si>
  <si>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</si>
  <si>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</si>
  <si>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</si>
  <si>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</si>
  <si>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</si>
  <si>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</si>
  <si>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</si>
  <si>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</si>
  <si>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</si>
  <si>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</si>
  <si>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</si>
  <si>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</si>
  <si>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</si>
  <si>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</si>
  <si>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</si>
  <si>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</si>
  <si>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</si>
  <si>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</si>
  <si>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</si>
  <si>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</si>
  <si>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</si>
  <si>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</si>
  <si>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</si>
  <si>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</si>
  <si>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</si>
  <si>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</si>
  <si>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</si>
  <si>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</si>
  <si>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</si>
  <si>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</si>
  <si>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</si>
  <si>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</si>
  <si>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</si>
  <si>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</si>
  <si>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</si>
  <si>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</si>
  <si>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</si>
  <si>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</si>
  <si>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</si>
  <si>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</si>
  <si>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</si>
  <si>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</si>
  <si>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</si>
  <si>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</si>
  <si>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</si>
  <si>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</si>
  <si>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</si>
  <si>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</si>
  <si>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</si>
  <si>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</si>
  <si>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</si>
  <si>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</si>
  <si>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</si>
  <si>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</si>
  <si>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</si>
  <si>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</si>
  <si>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</si>
  <si>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</si>
  <si>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</si>
  <si>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</si>
  <si>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</si>
  <si>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</si>
  <si>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</si>
  <si>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</si>
  <si>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</si>
  <si>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</si>
  <si>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</si>
  <si>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</si>
  <si>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</si>
  <si>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</si>
  <si>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</si>
  <si>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</si>
  <si>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</si>
  <si>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</si>
  <si>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</si>
  <si>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</si>
  <si>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</si>
  <si>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</si>
  <si>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</si>
  <si>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</si>
  <si>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</si>
  <si>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</si>
  <si>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</si>
  <si>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</si>
  <si>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</si>
  <si>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</si>
  <si>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</si>
  <si>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</si>
  <si>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</si>
  <si>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</si>
  <si>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</si>
  <si>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</si>
  <si>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</si>
  <si>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</si>
  <si>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</si>
  <si>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</si>
  <si>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</si>
  <si>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</si>
  <si>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</si>
  <si>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</si>
  <si>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</si>
  <si>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</si>
  <si>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</si>
  <si>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</si>
  <si>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</si>
  <si>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</si>
  <si>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</si>
  <si>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</si>
  <si>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</si>
  <si>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</si>
  <si>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</si>
  <si>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</si>
  <si>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</si>
  <si>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</si>
  <si>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</si>
  <si>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</si>
  <si>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</si>
  <si>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</si>
  <si>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</si>
  <si>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</si>
  <si>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</si>
  <si>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</si>
  <si>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</si>
  <si>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</si>
  <si>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</si>
  <si>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</si>
  <si>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</si>
  <si>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</si>
  <si>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</si>
  <si>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</si>
  <si>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</si>
  <si>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</si>
  <si>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</si>
  <si>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</si>
  <si>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</si>
  <si>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</si>
  <si>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</si>
  <si>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</si>
  <si>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</si>
  <si>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</si>
  <si>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</si>
  <si>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</si>
  <si>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</si>
  <si>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</si>
  <si>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</si>
  <si>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</si>
  <si>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</si>
  <si>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</si>
  <si>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</si>
  <si>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</si>
  <si>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</si>
  <si>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</si>
  <si>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</si>
  <si>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</si>
  <si>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</si>
  <si>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</si>
  <si>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</si>
  <si>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</si>
  <si>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</si>
  <si>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</si>
  <si>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</si>
  <si>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</si>
  <si>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</si>
  <si>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</si>
  <si>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</si>
  <si>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</si>
  <si>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</si>
  <si>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</si>
  <si>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</si>
  <si>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</si>
  <si>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</si>
  <si>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</si>
  <si>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</si>
  <si>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</si>
  <si>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</si>
  <si>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</si>
  <si>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</si>
  <si>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</si>
  <si>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</si>
  <si>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</si>
  <si>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</si>
  <si>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</si>
  <si>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</si>
  <si>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</si>
  <si>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</si>
  <si>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</si>
  <si>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</si>
  <si>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</si>
  <si>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</si>
  <si>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</si>
  <si>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</si>
  <si>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</si>
  <si>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</si>
  <si>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</si>
  <si>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</si>
  <si>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</si>
  <si>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</si>
  <si>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</si>
  <si>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</si>
  <si>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</si>
  <si>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</si>
  <si>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</si>
  <si>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</si>
  <si>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</si>
  <si>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</si>
  <si>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</si>
  <si>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</si>
  <si>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</si>
  <si>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</si>
  <si>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</si>
  <si>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</si>
  <si>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</si>
  <si>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</si>
  <si>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</si>
  <si>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</si>
  <si>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</si>
  <si>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</si>
  <si>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</si>
  <si>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</si>
  <si>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</si>
  <si>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</si>
  <si>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</si>
  <si>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</si>
  <si>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</si>
  <si>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</si>
  <si>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</si>
  <si>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</si>
  <si>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</si>
  <si>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</si>
  <si>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</si>
  <si>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</si>
  <si>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</si>
  <si>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</si>
  <si>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</si>
  <si>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</si>
  <si>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</si>
  <si>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</si>
  <si>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</si>
  <si>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</si>
  <si>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</si>
  <si>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</si>
  <si>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</si>
  <si>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</si>
  <si>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</si>
  <si>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</si>
  <si>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</si>
  <si>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</si>
  <si>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</si>
  <si>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</si>
  <si>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</si>
  <si>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</si>
  <si>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</si>
  <si>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</si>
  <si>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</si>
  <si>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</si>
  <si>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</si>
  <si>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</si>
  <si>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</si>
  <si>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</si>
  <si>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</si>
  <si>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</si>
  <si>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</si>
  <si>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</si>
  <si>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</si>
  <si>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</si>
  <si>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</si>
  <si>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</si>
  <si>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</si>
  <si>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</si>
  <si>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</si>
  <si>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</si>
  <si>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</si>
  <si>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</si>
  <si>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</si>
  <si>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</si>
  <si>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</si>
  <si>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</si>
  <si>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</si>
  <si>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</si>
  <si>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</si>
  <si>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</si>
  <si>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</si>
  <si>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</si>
  <si>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</si>
  <si>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</si>
  <si>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</si>
  <si>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</si>
  <si>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</si>
  <si>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</si>
  <si>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</si>
  <si>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</si>
  <si>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</si>
  <si>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</si>
  <si>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</si>
  <si>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</si>
  <si>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</si>
  <si>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</si>
  <si>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</si>
  <si>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</si>
  <si>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</si>
  <si>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</si>
  <si>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</si>
  <si>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</si>
  <si>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</si>
  <si>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</si>
  <si>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</si>
  <si>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</si>
  <si>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</si>
  <si>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</si>
  <si>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</si>
  <si>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</si>
  <si>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</si>
  <si>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</si>
  <si>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</si>
  <si>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</si>
  <si>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</si>
  <si>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</si>
  <si>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</si>
  <si>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</si>
  <si>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</si>
  <si>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</si>
  <si>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</si>
  <si>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</si>
  <si>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</si>
  <si>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</si>
  <si>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</si>
  <si>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</si>
  <si>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</si>
  <si>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</si>
  <si>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</si>
  <si>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</si>
  <si>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</si>
  <si>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</si>
  <si>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</si>
  <si>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</si>
  <si>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</si>
  <si>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</si>
  <si>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</si>
  <si>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</si>
  <si>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</si>
  <si>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</si>
  <si>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</si>
  <si>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</si>
  <si>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</si>
  <si>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</si>
  <si>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</si>
  <si>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</si>
  <si>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</si>
  <si>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</si>
  <si>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</si>
  <si>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</si>
  <si>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</si>
  <si>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</si>
  <si>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</si>
  <si>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</si>
  <si>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</si>
  <si>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</si>
  <si>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</si>
  <si>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</si>
  <si>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</si>
  <si>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</si>
  <si>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</si>
  <si>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</si>
  <si>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</si>
  <si>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</si>
  <si>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</si>
  <si>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</si>
  <si>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</si>
  <si>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</si>
  <si>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</si>
  <si>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</si>
  <si>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</si>
  <si>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</si>
  <si>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</si>
  <si>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</si>
  <si>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</si>
  <si>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</si>
  <si>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</si>
  <si>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</si>
  <si>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</si>
  <si>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</si>
  <si>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</si>
  <si>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</si>
  <si>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</si>
  <si>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</si>
  <si>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</si>
  <si>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</si>
  <si>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</si>
  <si>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</si>
  <si>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</si>
  <si>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</si>
  <si>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</si>
  <si>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</si>
  <si>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</si>
  <si>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</si>
  <si>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</si>
  <si>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</si>
  <si>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</si>
  <si>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</si>
  <si>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</si>
  <si>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</si>
  <si>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</si>
  <si>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</si>
  <si>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</si>
  <si>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</si>
  <si>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</si>
  <si>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</si>
  <si>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</si>
  <si>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</si>
  <si>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</si>
  <si>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</si>
  <si>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</si>
  <si>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</si>
  <si>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</si>
  <si>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</si>
  <si>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</si>
  <si>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</si>
  <si>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</si>
  <si>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</si>
  <si>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</si>
  <si>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</si>
  <si>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</si>
  <si>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</si>
  <si>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</si>
  <si>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</si>
  <si>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</si>
  <si>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</si>
  <si>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</si>
  <si>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</si>
  <si>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</si>
  <si>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</si>
  <si>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</si>
  <si>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</si>
  <si>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</si>
  <si>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</si>
  <si>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</si>
  <si>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</si>
  <si>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</si>
  <si>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</si>
  <si>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</si>
  <si>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</si>
  <si>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</si>
  <si>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</si>
  <si>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</si>
  <si>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</si>
  <si>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</si>
  <si>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</si>
  <si>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</si>
  <si>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</si>
  <si>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</si>
  <si>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</si>
  <si>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</si>
  <si>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</si>
  <si>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</si>
  <si>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</si>
  <si>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</si>
  <si>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</si>
  <si>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</si>
  <si>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</si>
  <si>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</si>
  <si>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</si>
  <si>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</si>
  <si>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</si>
  <si>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</si>
  <si>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</si>
  <si>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</si>
  <si>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</si>
  <si>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</si>
  <si>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</si>
  <si>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</si>
  <si>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</si>
  <si>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</si>
  <si>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</si>
  <si>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</si>
  <si>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</si>
  <si>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</si>
  <si>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</si>
  <si>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</si>
  <si>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</si>
  <si>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</si>
  <si>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</si>
  <si>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</si>
  <si>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</si>
  <si>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</si>
  <si>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</si>
  <si>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</si>
  <si>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</si>
  <si>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</si>
  <si>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</si>
  <si>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</si>
  <si>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</si>
  <si>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</si>
  <si>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</si>
  <si>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</si>
  <si>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</si>
  <si>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</si>
  <si>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</si>
  <si>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</si>
  <si>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</si>
  <si>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</si>
  <si>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</si>
  <si>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</si>
  <si>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</si>
  <si>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</si>
  <si>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</si>
  <si>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</si>
  <si>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</si>
  <si>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</si>
  <si>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</si>
  <si>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</si>
  <si>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</si>
  <si>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</si>
  <si>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</si>
  <si>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</si>
  <si>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</si>
  <si>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</si>
  <si>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</si>
  <si>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</si>
  <si>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</si>
  <si>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</si>
  <si>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</si>
  <si>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</si>
  <si>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</si>
  <si>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</si>
  <si>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</si>
  <si>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</si>
  <si>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</si>
  <si>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</si>
  <si>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</si>
  <si>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</si>
  <si>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</si>
  <si>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</si>
  <si>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</si>
  <si>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</si>
  <si>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</si>
  <si>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</si>
  <si>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</si>
  <si>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</si>
  <si>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</si>
  <si>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</si>
  <si>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</si>
  <si>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</si>
  <si>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</si>
  <si>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</si>
  <si>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</si>
  <si>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</si>
  <si>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</si>
  <si>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</si>
  <si>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</si>
  <si>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</si>
  <si>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</si>
  <si>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</si>
  <si>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</si>
  <si>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</si>
  <si>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</si>
  <si>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</si>
  <si>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</si>
  <si>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</si>
  <si>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</si>
  <si>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</si>
  <si>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</si>
  <si>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</si>
  <si>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</si>
  <si>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</si>
  <si>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</si>
  <si>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</si>
  <si>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</si>
  <si>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</si>
  <si>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</si>
  <si>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</si>
  <si>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</si>
  <si>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</si>
  <si>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</si>
  <si>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</si>
  <si>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</si>
  <si>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</si>
  <si>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</si>
  <si>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</si>
  <si>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</si>
  <si>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</si>
  <si>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</si>
  <si>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</si>
  <si>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</si>
  <si>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</si>
  <si>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</si>
  <si>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</si>
  <si>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</si>
  <si>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</si>
  <si>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</si>
  <si>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</si>
  <si>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</si>
  <si>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</si>
  <si>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</si>
  <si>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</si>
  <si>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</si>
  <si>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</si>
  <si>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</si>
  <si>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</si>
  <si>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</si>
  <si>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</si>
  <si>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</si>
  <si>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</si>
  <si>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</si>
  <si>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</si>
  <si>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</si>
  <si>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</si>
  <si>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</si>
  <si>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</si>
  <si>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</si>
  <si>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</si>
  <si>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</si>
  <si>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</si>
  <si>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</si>
  <si>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</si>
  <si>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</si>
  <si>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</si>
  <si>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</si>
  <si>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</si>
  <si>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</si>
  <si>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</si>
  <si>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</si>
  <si>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</si>
  <si>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</si>
  <si>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</si>
  <si>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</si>
  <si>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</si>
  <si>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</si>
  <si>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</si>
  <si>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</si>
  <si>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</si>
  <si>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</si>
  <si>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</si>
  <si>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</si>
  <si>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</si>
  <si>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</si>
  <si>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</si>
  <si>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</si>
  <si>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</si>
  <si>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</si>
  <si>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</si>
  <si>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</si>
  <si>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</si>
  <si>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</si>
  <si>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</si>
  <si>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</si>
  <si>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</si>
  <si>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</si>
  <si>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</si>
  <si>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</si>
  <si>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</si>
  <si>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</si>
  <si>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</si>
  <si>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</si>
  <si>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</si>
  <si>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</si>
  <si>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</si>
  <si>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</si>
  <si>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</si>
  <si>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</si>
  <si>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</si>
  <si>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</si>
  <si>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</si>
  <si>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</si>
  <si>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</si>
  <si>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</si>
  <si>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</si>
  <si>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</si>
  <si>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</si>
  <si>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</si>
  <si>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</si>
  <si>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</si>
  <si>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</si>
  <si>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</si>
  <si>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</si>
  <si>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</si>
  <si>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</si>
  <si>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</si>
  <si>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</si>
  <si>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</si>
  <si>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</si>
  <si>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</si>
  <si>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</si>
  <si>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</si>
  <si>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</si>
  <si>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</si>
  <si>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</si>
  <si>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</si>
  <si>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</si>
  <si>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</si>
  <si>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</si>
  <si>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</si>
  <si>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</si>
  <si>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</si>
  <si>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</si>
  <si>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</si>
  <si>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</si>
  <si>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</si>
  <si>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</si>
  <si>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</si>
  <si>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</si>
  <si>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</si>
  <si>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</si>
  <si>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</si>
  <si>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</si>
  <si>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</si>
  <si>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</si>
  <si>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</si>
  <si>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</si>
  <si>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</si>
  <si>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</si>
  <si>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</si>
  <si>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</si>
  <si>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</si>
  <si>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</si>
  <si>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</si>
  <si>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</si>
  <si>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</si>
  <si>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</si>
  <si>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</si>
  <si>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</si>
  <si>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</si>
  <si>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</si>
  <si>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</si>
  <si>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</si>
  <si>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</si>
  <si>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</si>
  <si>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</si>
  <si>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</si>
  <si>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</si>
  <si>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</si>
  <si>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</si>
  <si>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</si>
  <si>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</si>
  <si>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</si>
  <si>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</si>
  <si>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</si>
  <si>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</si>
  <si>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</si>
  <si>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</si>
  <si>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</si>
  <si>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</si>
  <si>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</si>
  <si>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</si>
  <si>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</si>
  <si>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</si>
  <si>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</si>
  <si>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</si>
  <si>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</si>
  <si>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</si>
  <si>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</si>
  <si>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</si>
  <si>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</si>
  <si>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</si>
  <si>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</si>
  <si>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</si>
  <si>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</si>
  <si>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</si>
  <si>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</si>
  <si>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</si>
  <si>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</si>
  <si>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</si>
  <si>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</si>
  <si>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</si>
  <si>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</si>
  <si>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</si>
  <si>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</si>
  <si>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</si>
  <si>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</si>
  <si>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</si>
  <si>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</si>
  <si>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</si>
  <si>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</si>
  <si>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</si>
  <si>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</si>
  <si>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</si>
  <si>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</si>
  <si>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</si>
  <si>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</si>
  <si>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</si>
  <si>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</si>
  <si>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</si>
  <si>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</si>
  <si>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</si>
  <si>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</si>
  <si>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</si>
  <si>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</si>
  <si>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</si>
  <si>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</si>
  <si>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</si>
  <si>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</si>
  <si>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</si>
  <si>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</si>
  <si>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</si>
  <si>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</si>
  <si>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</si>
  <si>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</si>
  <si>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</si>
  <si>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</si>
  <si>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</si>
  <si>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</si>
  <si>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</si>
  <si>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</si>
  <si>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</si>
  <si>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</si>
  <si>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</si>
  <si>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</si>
  <si>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</si>
  <si>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</si>
  <si>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</si>
  <si>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</si>
  <si>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</si>
  <si>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</si>
  <si>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</si>
  <si>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</si>
  <si>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</si>
  <si>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</si>
  <si>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</si>
  <si>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</si>
  <si>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</si>
  <si>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</si>
  <si>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</si>
  <si>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</si>
  <si>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</si>
  <si>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</si>
  <si>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</si>
  <si>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</si>
  <si>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</si>
  <si>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</si>
  <si>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</si>
  <si>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</si>
  <si>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</si>
  <si>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</si>
  <si>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</si>
  <si>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</si>
  <si>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</si>
  <si>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</si>
  <si>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</si>
  <si>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</si>
  <si>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</si>
  <si>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</si>
  <si>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</si>
  <si>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</si>
  <si>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</si>
  <si>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</si>
  <si>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</si>
  <si>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</si>
  <si>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</si>
  <si>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</si>
  <si>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</si>
  <si>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</si>
  <si>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</si>
  <si>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</si>
  <si>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</si>
  <si>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</si>
  <si>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</si>
  <si>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</si>
  <si>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</si>
  <si>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</si>
  <si>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</si>
  <si>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</si>
  <si>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</si>
  <si>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</si>
  <si>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</si>
  <si>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</si>
  <si>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</si>
  <si>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</si>
  <si>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</si>
  <si>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</si>
  <si>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</si>
  <si>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</si>
  <si>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</si>
  <si>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</si>
  <si>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</si>
  <si>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</si>
  <si>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</si>
  <si>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</si>
  <si>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</si>
  <si>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</si>
  <si>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</si>
  <si>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</si>
  <si>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</si>
  <si>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</si>
  <si>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</si>
  <si>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</si>
  <si>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</si>
  <si>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</si>
  <si>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</si>
  <si>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</si>
  <si>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</si>
  <si>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</si>
  <si>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</si>
  <si>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</si>
  <si>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</si>
  <si>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</si>
  <si>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</si>
  <si>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</si>
  <si>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</si>
  <si>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</si>
  <si>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</si>
  <si>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</si>
  <si>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</si>
  <si>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</si>
  <si>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</si>
  <si>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</si>
  <si>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</si>
  <si>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</si>
  <si>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</si>
  <si>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</si>
  <si>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</si>
  <si>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</si>
  <si>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</si>
  <si>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</si>
  <si>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</si>
  <si>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</si>
  <si>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</si>
  <si>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</si>
  <si>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</si>
  <si>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</si>
  <si>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</si>
  <si>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</si>
  <si>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</si>
  <si>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</si>
  <si>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</si>
  <si>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</si>
  <si>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</si>
  <si>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</si>
  <si>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</si>
  <si>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</si>
  <si>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</si>
  <si>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</si>
  <si>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</si>
  <si>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</si>
  <si>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</si>
  <si>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</si>
  <si>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</si>
  <si>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</si>
  <si>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</si>
  <si>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</si>
  <si>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</si>
  <si>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</si>
  <si>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</si>
  <si>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</si>
  <si>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</si>
  <si>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</si>
  <si>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</si>
  <si>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</si>
  <si>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</si>
  <si>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</si>
  <si>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</si>
  <si>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</si>
  <si>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</si>
  <si>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</si>
  <si>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</si>
  <si>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</si>
  <si>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</si>
  <si>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</si>
  <si>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</si>
  <si>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</si>
  <si>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</si>
  <si>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</si>
  <si>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</si>
  <si>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</si>
  <si>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</si>
  <si>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</si>
  <si>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</si>
  <si>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</si>
  <si>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</si>
  <si>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</si>
  <si>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</si>
  <si>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</si>
  <si>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</si>
  <si>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</si>
  <si>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</si>
  <si>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</si>
  <si>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</si>
  <si>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</si>
  <si>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</si>
  <si>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</si>
  <si>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</si>
  <si>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</si>
  <si>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</si>
  <si>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</si>
  <si>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</si>
  <si>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</si>
  <si>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</si>
  <si>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</si>
  <si>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</si>
  <si>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</si>
  <si>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</si>
  <si>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</si>
  <si>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</si>
  <si>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</si>
  <si>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</si>
  <si>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</si>
  <si>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</si>
  <si>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</si>
  <si>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</si>
  <si>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</si>
  <si>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</si>
  <si>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</si>
  <si>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</si>
  <si>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</si>
  <si>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</si>
  <si>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</si>
  <si>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</si>
  <si>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</si>
  <si>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</si>
  <si>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</si>
  <si>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</si>
  <si>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</si>
  <si>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</si>
  <si>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</si>
  <si>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</si>
  <si>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</si>
  <si>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</si>
  <si>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</si>
  <si>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</si>
  <si>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</si>
  <si>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</si>
  <si>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</si>
  <si>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</si>
  <si>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</si>
  <si>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</si>
  <si>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</si>
  <si>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</si>
  <si>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</si>
  <si>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</si>
  <si>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</si>
  <si>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</si>
  <si>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</si>
  <si>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</si>
  <si>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</si>
  <si>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</si>
  <si>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</si>
  <si>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</si>
  <si>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</si>
  <si>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</si>
  <si>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</si>
  <si>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</si>
  <si>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</si>
  <si>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</si>
  <si>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</si>
  <si>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</si>
  <si>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</si>
  <si>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</si>
  <si>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</si>
  <si>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</si>
  <si>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</si>
  <si>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</si>
  <si>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</si>
  <si>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</si>
  <si>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</si>
  <si>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</si>
  <si>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</si>
  <si>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</si>
  <si>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</si>
  <si>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</si>
  <si>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</si>
  <si>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</si>
  <si>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</si>
  <si>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</si>
  <si>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</si>
  <si>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</si>
  <si>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</si>
  <si>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</si>
  <si>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</si>
  <si>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</si>
  <si>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</si>
  <si>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</si>
  <si>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</si>
  <si>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</si>
  <si>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</si>
  <si>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</si>
  <si>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</si>
  <si>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</si>
  <si>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</si>
  <si>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</si>
  <si>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</si>
  <si>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</si>
  <si>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</si>
  <si>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</si>
  <si>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</si>
  <si>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</si>
  <si>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</si>
  <si>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</si>
  <si>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</si>
  <si>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</si>
  <si>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</si>
  <si>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</si>
  <si>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</si>
  <si>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</si>
  <si>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</si>
  <si>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</si>
  <si>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</si>
  <si>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</si>
  <si>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</si>
  <si>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</si>
  <si>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</si>
  <si>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</si>
  <si>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</si>
  <si>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</si>
  <si>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</si>
  <si>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</si>
  <si>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</si>
  <si>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</si>
  <si>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</si>
  <si>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</si>
  <si>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</si>
  <si>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</si>
  <si>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</si>
  <si>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</si>
  <si>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</si>
  <si>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</si>
  <si>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</si>
  <si>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</si>
  <si>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</si>
  <si>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</si>
  <si>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</si>
  <si>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</si>
  <si>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</si>
  <si>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</si>
  <si>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</si>
  <si>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</si>
  <si>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</si>
  <si>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</si>
  <si>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</si>
  <si>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</si>
  <si>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</si>
  <si>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</si>
  <si>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</si>
  <si>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</si>
  <si>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</si>
  <si>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</si>
  <si>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</si>
  <si>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</si>
  <si>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</si>
  <si>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</si>
  <si>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</si>
  <si>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</si>
  <si>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</si>
  <si>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</si>
  <si>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</si>
  <si>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</si>
  <si>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</si>
  <si>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</si>
  <si>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</si>
  <si>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</si>
  <si>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</si>
  <si>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</si>
  <si>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</si>
  <si>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</si>
  <si>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</si>
  <si>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</si>
  <si>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</si>
  <si>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</si>
  <si>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</si>
  <si>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</si>
  <si>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</si>
  <si>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</si>
  <si>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</si>
  <si>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</si>
  <si>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</si>
  <si>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</si>
  <si>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</si>
  <si>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</si>
  <si>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</si>
  <si>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</si>
  <si>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</si>
  <si>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</si>
  <si>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</si>
  <si>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</si>
  <si>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</si>
  <si>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</si>
  <si>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</si>
  <si>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</si>
  <si>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</si>
  <si>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</si>
  <si>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</si>
  <si>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</si>
  <si>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</si>
  <si>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</si>
  <si>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</si>
  <si>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</si>
  <si>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</si>
  <si>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</si>
  <si>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</si>
  <si>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</si>
  <si>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</si>
  <si>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</si>
  <si>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</si>
  <si>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</si>
  <si>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</si>
  <si>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</si>
  <si>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</si>
  <si>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</si>
  <si>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</si>
  <si>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</si>
  <si>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</si>
  <si>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</si>
  <si>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</si>
  <si>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</si>
  <si>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</si>
  <si>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</si>
  <si>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</si>
  <si>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</si>
  <si>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</si>
  <si>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</si>
  <si>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</si>
  <si>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</si>
  <si>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</si>
  <si>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</si>
  <si>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</si>
  <si>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</si>
  <si>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</si>
  <si>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</si>
  <si>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</si>
  <si>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</si>
  <si>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</si>
  <si>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</si>
  <si>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</si>
  <si>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</si>
  <si>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</si>
  <si>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</si>
  <si>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</si>
  <si>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</si>
  <si>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</si>
  <si>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</si>
  <si>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</si>
  <si>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</si>
  <si>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</si>
  <si>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</si>
  <si>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</si>
  <si>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</si>
  <si>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</si>
  <si>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</si>
  <si>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</si>
  <si>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</si>
  <si>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</si>
  <si>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</si>
  <si>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</si>
  <si>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</si>
  <si>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</si>
  <si>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</si>
  <si>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</si>
  <si>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</si>
  <si>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</si>
  <si>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</si>
  <si>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</si>
  <si>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</si>
  <si>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</si>
  <si>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</si>
  <si>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</si>
  <si>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</si>
  <si>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</si>
  <si>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</si>
  <si>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</si>
  <si>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</si>
  <si>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</si>
  <si>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</si>
  <si>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</si>
  <si>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</si>
  <si>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</si>
  <si>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</si>
  <si>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</si>
  <si>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</si>
  <si>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</si>
  <si>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</si>
  <si>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</si>
  <si>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</si>
  <si>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</si>
  <si>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</si>
  <si>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</si>
  <si>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</si>
  <si>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</si>
  <si>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</si>
  <si>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</si>
  <si>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</si>
  <si>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</si>
  <si>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</si>
  <si>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</si>
  <si>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</si>
  <si>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</si>
  <si>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</si>
  <si>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</si>
  <si>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</si>
  <si>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</si>
  <si>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</si>
  <si>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</si>
  <si>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</si>
  <si>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</si>
  <si>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</si>
  <si>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</si>
  <si>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</si>
  <si>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</si>
  <si>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</si>
  <si>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</si>
  <si>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</si>
  <si>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</si>
  <si>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</si>
  <si>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</si>
  <si>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</si>
  <si>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</si>
  <si>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</si>
  <si>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</si>
  <si>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</si>
  <si>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</si>
  <si>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</si>
  <si>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</si>
  <si>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</si>
  <si>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</si>
  <si>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</si>
  <si>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</si>
  <si>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</si>
  <si>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</si>
  <si>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</si>
  <si>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</si>
  <si>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</si>
  <si>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</si>
  <si>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</si>
  <si>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</si>
  <si>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</si>
  <si>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</si>
  <si>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</si>
  <si>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</si>
  <si>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</si>
  <si>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</si>
  <si>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</si>
  <si>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</si>
  <si>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</si>
  <si>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</si>
  <si>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</si>
  <si>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</si>
  <si>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</si>
  <si>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</si>
  <si>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</si>
  <si>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</si>
  <si>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</si>
  <si>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</si>
  <si>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</si>
  <si>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</si>
  <si>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</si>
  <si>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</si>
  <si>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</si>
  <si>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</si>
  <si>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</si>
  <si>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</si>
  <si>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</si>
  <si>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</si>
  <si>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</si>
  <si>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</si>
  <si>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</si>
  <si>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</si>
  <si>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</si>
  <si>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</si>
  <si>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</si>
  <si>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</si>
  <si>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</si>
  <si>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</si>
  <si>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</si>
  <si>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</si>
  <si>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</si>
  <si>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</si>
  <si>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</si>
  <si>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</si>
  <si>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</si>
  <si>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</si>
  <si>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</si>
  <si>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</si>
  <si>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</si>
  <si>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</si>
  <si>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</si>
  <si>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</si>
  <si>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</si>
  <si>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</si>
  <si>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</si>
  <si>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</si>
  <si>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</si>
  <si>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</si>
  <si>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</si>
  <si>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</si>
  <si>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</si>
  <si>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</si>
  <si>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</si>
  <si>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</si>
  <si>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</si>
  <si>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</si>
  <si>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</si>
  <si>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</si>
  <si>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</si>
  <si>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</si>
  <si>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</si>
  <si>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</si>
  <si>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</si>
  <si>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</si>
  <si>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</si>
  <si>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</si>
  <si>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</si>
  <si>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</si>
  <si>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</si>
  <si>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</si>
  <si>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</si>
  <si>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</si>
  <si>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</si>
  <si>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</si>
  <si>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</si>
  <si>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</si>
  <si>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</si>
  <si>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</si>
  <si>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</si>
  <si>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</si>
  <si>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</si>
  <si>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</si>
  <si>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</si>
  <si>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</si>
  <si>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</si>
  <si>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</si>
  <si>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</si>
  <si>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</si>
  <si>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</si>
  <si>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</si>
  <si>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</si>
  <si>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</si>
  <si>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</si>
  <si>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</si>
  <si>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</si>
  <si>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</si>
  <si>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</si>
  <si>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</si>
  <si>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</si>
  <si>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</si>
  <si>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</si>
  <si>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</si>
  <si>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</si>
  <si>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</si>
  <si>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</si>
  <si>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</si>
  <si>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</si>
  <si>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</si>
  <si>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</si>
  <si>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</si>
  <si>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</si>
  <si>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</si>
  <si>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</si>
  <si>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</si>
  <si>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</si>
  <si>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</si>
  <si>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</si>
  <si>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</si>
  <si>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</si>
  <si>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</si>
  <si>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</si>
  <si>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</si>
  <si>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</si>
  <si>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</si>
  <si>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</si>
  <si>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</si>
  <si>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</si>
  <si>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</si>
  <si>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</si>
  <si>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</si>
  <si>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</si>
  <si>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</si>
  <si>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</si>
  <si>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</si>
  <si>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</si>
  <si>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</si>
  <si>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</si>
  <si>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</si>
  <si>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</si>
  <si>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</si>
  <si>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</si>
  <si>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</si>
  <si>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</si>
  <si>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</si>
  <si>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</si>
  <si>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</si>
  <si>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</si>
  <si>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</si>
  <si>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</si>
  <si>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</si>
  <si>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</si>
  <si>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</si>
  <si>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</si>
  <si>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</si>
  <si>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</si>
  <si>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</si>
  <si>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</si>
  <si>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</si>
  <si>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</si>
  <si>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</si>
  <si>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</si>
  <si>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</si>
  <si>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</si>
  <si>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</si>
  <si>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</si>
  <si>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</si>
  <si>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</si>
  <si>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</si>
  <si>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</si>
  <si>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</si>
  <si>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</si>
  <si>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</si>
  <si>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</si>
  <si>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</si>
  <si>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</si>
  <si>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</si>
  <si>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</si>
  <si>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</si>
  <si>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</si>
  <si>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</si>
  <si>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</si>
  <si>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</si>
  <si>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</si>
  <si>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</si>
  <si>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</si>
  <si>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</si>
  <si>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</si>
  <si>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</si>
  <si>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</si>
  <si>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</si>
  <si>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</si>
  <si>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</si>
  <si>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</si>
  <si>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</si>
  <si>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</si>
  <si>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</si>
  <si>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</si>
  <si>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</si>
  <si>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</si>
  <si>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</si>
  <si>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</si>
  <si>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</si>
  <si>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</si>
  <si>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</si>
  <si>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</si>
  <si>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</si>
  <si>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</si>
  <si>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</si>
  <si>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</si>
  <si>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</si>
  <si>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</si>
  <si>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</si>
  <si>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</si>
  <si>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</si>
  <si>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</si>
  <si>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</si>
  <si>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</si>
  <si>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</si>
  <si>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</si>
  <si>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</si>
  <si>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</si>
  <si>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</si>
  <si>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</si>
  <si>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</si>
  <si>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</si>
  <si>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</si>
  <si>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</si>
  <si>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</si>
  <si>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</si>
  <si>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</si>
  <si>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</si>
  <si>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</si>
  <si>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</si>
  <si>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</si>
  <si>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</si>
  <si>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</si>
  <si>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</si>
  <si>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</si>
  <si>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</si>
  <si>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</si>
  <si>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</si>
  <si>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</si>
  <si>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</si>
  <si>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</si>
  <si>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</si>
  <si>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</si>
  <si>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</si>
  <si>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</si>
  <si>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</si>
  <si>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</si>
  <si>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</si>
  <si>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</si>
  <si>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</si>
  <si>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</si>
  <si>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</si>
  <si>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</si>
  <si>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</si>
  <si>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</si>
  <si>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</si>
  <si>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</si>
  <si>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</si>
  <si>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</si>
  <si>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</si>
  <si>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</si>
  <si>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</si>
  <si>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</si>
  <si>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</si>
  <si>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</si>
  <si>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</si>
  <si>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</si>
  <si>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</si>
  <si>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</si>
  <si>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</si>
  <si>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</si>
  <si>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</si>
  <si>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</si>
  <si>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</si>
  <si>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</si>
  <si>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</si>
  <si>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</si>
  <si>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</si>
  <si>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</si>
  <si>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</si>
  <si>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</si>
  <si>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</si>
  <si>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</si>
  <si>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</si>
  <si>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</si>
  <si>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</si>
  <si>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</si>
  <si>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</si>
  <si>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</si>
  <si>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</si>
  <si>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</si>
  <si>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</si>
  <si>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</si>
  <si>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</si>
  <si>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</si>
  <si>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</si>
  <si>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</si>
  <si>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</si>
  <si>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</si>
  <si>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</si>
  <si>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</si>
  <si>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</si>
  <si>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</si>
  <si>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</si>
  <si>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</si>
  <si>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</si>
  <si>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</si>
  <si>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</si>
  <si>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</si>
  <si>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</si>
  <si>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</si>
  <si>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</si>
  <si>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</si>
  <si>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</si>
  <si>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</si>
  <si>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</si>
  <si>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</si>
  <si>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</si>
  <si>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</si>
  <si>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</si>
  <si>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</si>
  <si>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</si>
  <si>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</si>
  <si>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</si>
  <si>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</si>
  <si>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</si>
  <si>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</si>
  <si>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</si>
  <si>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</si>
  <si>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</si>
  <si>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</si>
  <si>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</si>
  <si>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</si>
  <si>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</si>
  <si>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</si>
  <si>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</si>
  <si>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</si>
  <si>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</si>
  <si>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</si>
  <si>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</si>
  <si>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</si>
  <si>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</si>
  <si>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</si>
  <si>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</si>
  <si>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</si>
  <si>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</si>
  <si>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</si>
  <si>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</si>
  <si>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</si>
  <si>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</si>
  <si>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</si>
  <si>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</si>
  <si>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</si>
  <si>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</si>
  <si>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</si>
  <si>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</si>
  <si>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</si>
  <si>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</si>
  <si>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</si>
  <si>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</si>
  <si>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</si>
  <si>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</si>
  <si>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</si>
  <si>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</si>
  <si>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</si>
  <si>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</si>
  <si>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</si>
  <si>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</si>
  <si>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</si>
  <si>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</si>
  <si>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</si>
  <si>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</si>
  <si>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</si>
  <si>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</si>
  <si>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</si>
  <si>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</si>
  <si>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</si>
  <si>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</si>
  <si>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</si>
  <si>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</si>
  <si>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</si>
  <si>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</si>
  <si>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</si>
  <si>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</si>
  <si>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</si>
  <si>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</si>
  <si>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</si>
  <si>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</si>
  <si>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</si>
  <si>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</si>
  <si>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</si>
  <si>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</si>
  <si>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</si>
  <si>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</si>
  <si>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</si>
  <si>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</si>
  <si>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</si>
  <si>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</si>
  <si>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</si>
  <si>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</si>
  <si>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</si>
  <si>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</si>
  <si>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</si>
  <si>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</si>
  <si>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</si>
  <si>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</si>
  <si>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</si>
  <si>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</si>
  <si>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</si>
  <si>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</si>
  <si>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</si>
  <si>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</si>
  <si>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</si>
  <si>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</si>
  <si>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</si>
  <si>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</si>
  <si>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</si>
  <si>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</si>
  <si>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</si>
  <si>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</si>
  <si>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</si>
  <si>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</si>
  <si>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</si>
  <si>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</si>
  <si>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</si>
  <si>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</si>
  <si>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</si>
  <si>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</si>
  <si>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</si>
  <si>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</si>
  <si>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</si>
  <si>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</si>
  <si>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</si>
  <si>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</si>
  <si>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</si>
  <si>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</si>
  <si>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</si>
  <si>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</si>
  <si>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</si>
  <si>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</si>
  <si>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</si>
  <si>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</si>
  <si>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</si>
  <si>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</si>
  <si>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</si>
  <si>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</si>
  <si>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</si>
  <si>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</si>
  <si>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</si>
  <si>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</si>
  <si>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</si>
  <si>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</si>
  <si>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</si>
  <si>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</si>
  <si>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</si>
  <si>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</si>
  <si>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</si>
  <si>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</si>
  <si>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</si>
  <si>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</si>
  <si>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</si>
  <si>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</si>
  <si>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</si>
  <si>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</si>
  <si>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</si>
  <si>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</si>
  <si>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</si>
  <si>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</si>
  <si>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</si>
  <si>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</si>
  <si>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</si>
  <si>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</si>
  <si>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</si>
  <si>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</si>
  <si>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</si>
  <si>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</si>
  <si>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</si>
  <si>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</si>
  <si>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</si>
  <si>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</si>
  <si>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</si>
  <si>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</si>
  <si>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</si>
  <si>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</si>
  <si>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</si>
  <si>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</si>
  <si>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</si>
  <si>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</si>
  <si>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</si>
  <si>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</si>
  <si>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</si>
  <si>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</si>
  <si>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</si>
  <si>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</si>
  <si>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</si>
  <si>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</si>
  <si>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</si>
  <si>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</si>
  <si>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</si>
  <si>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</si>
  <si>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</si>
  <si>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</si>
  <si>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</si>
  <si>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</si>
  <si>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</si>
  <si>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</si>
  <si>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</si>
  <si>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</si>
  <si>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</si>
  <si>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</si>
  <si>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</si>
  <si>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</si>
  <si>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</si>
  <si>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</si>
  <si>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</si>
  <si>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</si>
  <si>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</si>
  <si>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</si>
  <si>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</si>
  <si>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</si>
  <si>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</si>
  <si>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</si>
  <si>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</si>
  <si>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</si>
  <si>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</si>
  <si>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</si>
  <si>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</si>
  <si>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</si>
  <si>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</si>
  <si>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</si>
  <si>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</si>
  <si>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</si>
  <si>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</si>
  <si>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</si>
  <si>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</si>
  <si>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</si>
  <si>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</si>
  <si>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</si>
  <si>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</si>
  <si>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</si>
  <si>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</si>
  <si>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</si>
  <si>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</si>
  <si>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</si>
  <si>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</si>
  <si>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</si>
  <si>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</si>
  <si>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</si>
  <si>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</si>
  <si>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</si>
  <si>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</si>
  <si>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</si>
  <si>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</si>
  <si>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</si>
  <si>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</si>
  <si>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</si>
  <si>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</si>
  <si>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</si>
  <si>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</si>
  <si>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</si>
  <si>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</si>
  <si>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</si>
  <si>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</si>
  <si>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</si>
  <si>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</si>
  <si>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</si>
  <si>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</si>
  <si>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</si>
  <si>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</si>
  <si>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</si>
  <si>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</si>
  <si>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</si>
  <si>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</si>
  <si>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</si>
  <si>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</si>
  <si>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</si>
  <si>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</si>
  <si>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</si>
  <si>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</si>
  <si>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</si>
  <si>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</si>
  <si>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</si>
  <si>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</si>
  <si>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</si>
  <si>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</si>
  <si>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</si>
  <si>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</si>
  <si>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</si>
  <si>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</si>
  <si>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</si>
  <si>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</si>
  <si>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</si>
  <si>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</si>
  <si>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</si>
  <si>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</si>
  <si>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</si>
  <si>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</si>
  <si>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</si>
  <si>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</si>
  <si>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</si>
  <si>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</si>
  <si>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</si>
  <si>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</si>
  <si>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</si>
  <si>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</si>
  <si>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</si>
  <si>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</si>
  <si>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</si>
  <si>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</si>
  <si>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</si>
  <si>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</si>
  <si>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</si>
  <si>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</si>
  <si>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</si>
  <si>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</si>
  <si>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</si>
  <si>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</si>
  <si>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</si>
  <si>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</si>
  <si>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</si>
  <si>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</si>
  <si>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</si>
  <si>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</si>
  <si>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</si>
  <si>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</si>
  <si>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</si>
  <si>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</si>
  <si>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</si>
  <si>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</si>
  <si>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</si>
  <si>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</si>
  <si>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</si>
  <si>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</si>
  <si>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</si>
  <si>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</si>
  <si>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</si>
  <si>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</si>
  <si>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</si>
  <si>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</si>
  <si>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</si>
  <si>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</si>
  <si>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</si>
  <si>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</si>
  <si>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</si>
  <si>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</si>
  <si>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</si>
  <si>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</si>
  <si>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</si>
  <si>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</si>
  <si>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</si>
  <si>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</si>
  <si>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</si>
  <si>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</si>
  <si>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</si>
  <si>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</si>
  <si>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</si>
  <si>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</si>
  <si>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</si>
  <si>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</si>
  <si>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</si>
  <si>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</si>
  <si>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</si>
  <si>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</si>
  <si>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</si>
  <si>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</si>
  <si>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</si>
  <si>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</si>
  <si>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</si>
  <si>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</si>
  <si>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</si>
  <si>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</si>
  <si>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</si>
  <si>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</si>
  <si>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</si>
  <si>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</si>
  <si>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</si>
  <si>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</si>
  <si>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</si>
  <si>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</si>
  <si>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</si>
  <si>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</si>
  <si>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</si>
  <si>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</si>
  <si>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</si>
  <si>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</si>
  <si>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</si>
  <si>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</si>
  <si>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</si>
  <si>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</si>
  <si>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</si>
  <si>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</si>
  <si>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</si>
  <si>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</si>
  <si>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</si>
  <si>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</si>
  <si>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</si>
  <si>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</si>
  <si>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</si>
  <si>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</si>
  <si>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</si>
  <si>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</si>
  <si>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</si>
  <si>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</si>
  <si>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</si>
  <si>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</si>
  <si>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</si>
  <si>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</si>
  <si>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</si>
  <si>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</si>
  <si>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</si>
  <si>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</si>
  <si>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</si>
  <si>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</si>
  <si>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</si>
  <si>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</si>
  <si>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</si>
  <si>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</si>
  <si>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</si>
  <si>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</si>
  <si>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</si>
  <si>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</si>
  <si>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</si>
  <si>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</si>
  <si>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</si>
  <si>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</si>
  <si>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</si>
  <si>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</si>
  <si>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</si>
  <si>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</si>
  <si>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</si>
  <si>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</si>
  <si>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</si>
  <si>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</si>
  <si>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</si>
  <si>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</si>
  <si>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</si>
  <si>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</si>
  <si>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</si>
  <si>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</si>
  <si>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</si>
  <si>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</si>
  <si>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</si>
  <si>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</si>
  <si>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</si>
  <si>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</si>
  <si>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</si>
  <si>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</si>
  <si>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</si>
  <si>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</si>
  <si>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</si>
  <si>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</si>
  <si>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</si>
  <si>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</si>
  <si>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</si>
  <si>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</si>
  <si>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</si>
  <si>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</si>
  <si>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</si>
  <si>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</si>
  <si>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</si>
  <si>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</si>
  <si>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</si>
  <si>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</si>
  <si>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</si>
  <si>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</si>
  <si>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</si>
  <si>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</si>
  <si>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</si>
  <si>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</si>
  <si>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</si>
  <si>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</si>
  <si>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</si>
  <si>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</si>
  <si>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</si>
  <si>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</si>
  <si>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</si>
  <si>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</si>
  <si>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</si>
  <si>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</si>
  <si>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</si>
  <si>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</si>
  <si>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</si>
  <si>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</si>
  <si>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</si>
  <si>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</si>
  <si>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</si>
  <si>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</si>
  <si>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</si>
  <si>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</si>
  <si>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</si>
  <si>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</si>
  <si>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</si>
  <si>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</si>
  <si>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</si>
  <si>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</si>
  <si>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</si>
  <si>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</si>
  <si>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</si>
  <si>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</si>
  <si>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</si>
  <si>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</si>
  <si>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</si>
  <si>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</si>
  <si>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</si>
  <si>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</si>
  <si>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</si>
  <si>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</si>
  <si>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</si>
  <si>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</si>
  <si>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</si>
  <si>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</si>
  <si>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</si>
  <si>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</si>
  <si>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</si>
  <si>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</si>
  <si>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</si>
  <si>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</si>
  <si>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</si>
  <si>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</si>
  <si>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</si>
  <si>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</si>
  <si>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</si>
  <si>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</si>
  <si>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</si>
  <si>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</si>
  <si>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</si>
  <si>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</si>
  <si>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</si>
  <si>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</si>
  <si>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</si>
  <si>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</si>
  <si>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</si>
  <si>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</si>
  <si>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</si>
  <si>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</si>
  <si>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</si>
  <si>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</si>
  <si>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</si>
  <si>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</si>
  <si>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</si>
  <si>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</si>
  <si>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</si>
  <si>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</si>
  <si>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</si>
  <si>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</si>
  <si>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</si>
  <si>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</si>
  <si>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</si>
  <si>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</si>
  <si>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</si>
  <si>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</si>
  <si>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</si>
  <si>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</si>
  <si>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</si>
  <si>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</si>
  <si>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</si>
  <si>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</si>
  <si>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</si>
  <si>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</si>
  <si>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</si>
  <si>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</si>
  <si>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</si>
  <si>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</si>
  <si>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</si>
  <si>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</si>
  <si>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</si>
  <si>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</si>
  <si>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</si>
  <si>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</si>
  <si>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</si>
  <si>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</si>
  <si>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</si>
  <si>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</si>
  <si>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</si>
  <si>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</si>
  <si>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</si>
  <si>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</si>
  <si>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</si>
  <si>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</si>
  <si>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</si>
  <si>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</si>
  <si>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</si>
  <si>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</si>
  <si>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</si>
  <si>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</si>
  <si>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</si>
  <si>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</si>
  <si>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</si>
  <si>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</si>
  <si>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</si>
  <si>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</si>
  <si>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</si>
  <si>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</si>
  <si>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</si>
  <si>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</si>
  <si>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</si>
  <si>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</si>
  <si>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</si>
  <si>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</si>
  <si>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</si>
  <si>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</si>
  <si>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</si>
  <si>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</si>
  <si>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</si>
  <si>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</si>
  <si>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</si>
  <si>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</si>
  <si>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</si>
  <si>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</si>
  <si>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</si>
  <si>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</si>
  <si>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</si>
  <si>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</si>
  <si>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</si>
  <si>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</si>
  <si>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</si>
  <si>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</si>
  <si>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</si>
  <si>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</si>
  <si>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</si>
  <si>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</si>
  <si>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</si>
  <si>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</si>
  <si>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</si>
  <si>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</si>
  <si>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</si>
  <si>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</si>
  <si>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</si>
  <si>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</si>
  <si>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</si>
  <si>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</si>
  <si>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</si>
  <si>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</si>
  <si>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</si>
  <si>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</si>
  <si>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</si>
  <si>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</si>
  <si>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</si>
  <si>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</si>
  <si>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</si>
  <si>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</si>
  <si>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</si>
  <si>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</si>
  <si>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</si>
  <si>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</si>
  <si>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</si>
  <si>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</si>
  <si>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</si>
  <si>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</si>
  <si>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</si>
  <si>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</si>
  <si>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</si>
  <si>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</si>
  <si>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</si>
  <si>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</si>
  <si>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</si>
  <si>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</si>
  <si>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</si>
  <si>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</si>
  <si>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</si>
  <si>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</si>
  <si>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</si>
  <si>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</si>
  <si>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</si>
  <si>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</si>
  <si>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</si>
  <si>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</si>
  <si>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</si>
  <si>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</si>
  <si>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</si>
  <si>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</si>
  <si>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</si>
  <si>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</si>
  <si>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</si>
  <si>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</si>
  <si>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</si>
  <si>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</si>
  <si>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</si>
  <si>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</si>
  <si>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</si>
  <si>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</si>
  <si>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</si>
  <si>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</si>
  <si>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</si>
  <si>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</si>
  <si>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</si>
  <si>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</si>
  <si>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</si>
  <si>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</si>
  <si>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</si>
  <si>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</si>
  <si>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</si>
  <si>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</si>
  <si>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</si>
  <si>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</si>
  <si>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</si>
  <si>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</si>
  <si>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</si>
  <si>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</si>
  <si>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</si>
  <si>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</si>
  <si>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</si>
  <si>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</si>
  <si>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</si>
  <si>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</si>
  <si>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</si>
  <si>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</si>
  <si>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</si>
  <si>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</si>
  <si>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</si>
  <si>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</si>
  <si>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</si>
  <si>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</si>
  <si>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</si>
  <si>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</si>
  <si>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</si>
  <si>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</si>
  <si>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</si>
  <si>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</si>
  <si>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</si>
  <si>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</si>
  <si>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</si>
  <si>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</si>
  <si>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</si>
  <si>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</si>
  <si>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</si>
  <si>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</si>
  <si>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</si>
  <si>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</si>
  <si>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</si>
  <si>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</si>
  <si>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</si>
  <si>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</si>
  <si>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</si>
  <si>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</si>
  <si>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</si>
  <si>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</si>
  <si>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</si>
  <si>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</si>
  <si>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</si>
  <si>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</si>
  <si>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</si>
  <si>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</si>
  <si>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</si>
  <si>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</si>
  <si>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</si>
  <si>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</si>
  <si>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</si>
  <si>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</si>
  <si>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</si>
  <si>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</si>
  <si>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</si>
  <si>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</si>
  <si>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</si>
  <si>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</si>
  <si>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</si>
  <si>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</si>
  <si>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</si>
  <si>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</si>
  <si>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</si>
  <si>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</si>
  <si>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</si>
  <si>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</si>
  <si>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</si>
  <si>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</si>
  <si>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</si>
  <si>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</si>
  <si>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</si>
  <si>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</si>
  <si>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</si>
  <si>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</si>
  <si>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</si>
  <si>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</si>
  <si>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</si>
  <si>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</si>
  <si>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</si>
  <si>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</si>
  <si>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</si>
  <si>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</si>
  <si>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</si>
  <si>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</si>
  <si>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</si>
  <si>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</si>
  <si>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</si>
  <si>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</si>
  <si>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</si>
  <si>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</si>
  <si>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</si>
  <si>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</si>
  <si>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</si>
  <si>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</si>
  <si>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</si>
  <si>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</si>
  <si>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</si>
  <si>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</si>
  <si>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</si>
  <si>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</si>
  <si>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</si>
  <si>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</si>
  <si>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</si>
  <si>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</si>
  <si>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</si>
  <si>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</si>
  <si>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</si>
  <si>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</si>
  <si>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</si>
  <si>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</si>
  <si>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</si>
  <si>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</si>
  <si>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</si>
  <si>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</si>
  <si>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</si>
  <si>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</si>
  <si>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</si>
  <si>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</si>
  <si>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</si>
  <si>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</si>
  <si>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</si>
  <si>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</si>
  <si>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</si>
  <si>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</si>
  <si>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</si>
  <si>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</si>
  <si>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</si>
  <si>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</si>
  <si>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</si>
  <si>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</si>
  <si>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</si>
  <si>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</si>
  <si>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</si>
  <si>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</si>
  <si>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</si>
  <si>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</si>
  <si>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</si>
  <si>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</si>
  <si>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</si>
  <si>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</si>
  <si>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</si>
  <si>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</si>
  <si>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</si>
  <si>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</si>
  <si>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</si>
  <si>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</si>
  <si>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</si>
  <si>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</si>
  <si>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</si>
  <si>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</si>
  <si>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</si>
  <si>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</si>
  <si>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</si>
  <si>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</si>
  <si>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</si>
  <si>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</si>
  <si>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</si>
  <si>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</si>
  <si>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</si>
  <si>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</si>
  <si>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</si>
  <si>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</si>
  <si>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</si>
  <si>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</si>
  <si>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</si>
  <si>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</si>
  <si>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</si>
  <si>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</si>
  <si>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</si>
  <si>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</si>
  <si>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</si>
  <si>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</si>
  <si>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</si>
  <si>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</si>
  <si>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</si>
  <si>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</si>
  <si>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</si>
  <si>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</si>
  <si>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</si>
  <si>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</si>
  <si>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</si>
  <si>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</si>
  <si>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</si>
  <si>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</si>
  <si>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</si>
  <si>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</si>
  <si>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</si>
  <si>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</si>
  <si>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</si>
  <si>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</si>
  <si>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</si>
  <si>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</si>
  <si>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</si>
  <si>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</si>
  <si>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</si>
  <si>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</si>
  <si>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</si>
  <si>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</si>
  <si>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</si>
  <si>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</si>
  <si>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</si>
  <si>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</si>
  <si>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</si>
  <si>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</si>
  <si>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</si>
  <si>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</si>
  <si>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</si>
  <si>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</si>
  <si>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</si>
  <si>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</si>
  <si>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</si>
  <si>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</si>
  <si>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</si>
  <si>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</si>
  <si>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</si>
  <si>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</si>
  <si>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</si>
  <si>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</si>
  <si>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</si>
  <si>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</si>
  <si>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</si>
  <si>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</si>
  <si>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</si>
  <si>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</si>
  <si>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</si>
  <si>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</si>
  <si>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</si>
  <si>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</si>
  <si>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</si>
  <si>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</si>
  <si>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</si>
  <si>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</si>
  <si>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</si>
  <si>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</si>
  <si>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</si>
  <si>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</si>
  <si>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</si>
  <si>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</si>
  <si>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</si>
  <si>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</si>
  <si>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</si>
  <si>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</si>
  <si>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</si>
  <si>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</si>
  <si>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</si>
  <si>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</si>
  <si>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</si>
  <si>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</si>
  <si>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</si>
  <si>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</si>
  <si>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</si>
  <si>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</si>
  <si>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</si>
  <si>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</si>
  <si>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</si>
  <si>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</si>
  <si>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</si>
  <si>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</si>
  <si>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</si>
  <si>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</si>
  <si>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</si>
  <si>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</si>
  <si>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</si>
  <si>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</si>
  <si>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</si>
  <si>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</si>
  <si>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</si>
  <si>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</si>
  <si>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</si>
  <si>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</si>
  <si>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</si>
  <si>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</si>
  <si>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</si>
  <si>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</si>
  <si>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</si>
  <si>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</si>
  <si>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</si>
  <si>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</si>
  <si>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</si>
  <si>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</si>
  <si>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</si>
  <si>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</si>
  <si>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</si>
  <si>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</si>
  <si>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</si>
  <si>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</si>
  <si>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</si>
  <si>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</si>
  <si>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</si>
  <si>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</si>
  <si>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</si>
  <si>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</si>
  <si>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</si>
  <si>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</si>
  <si>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</si>
  <si>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</si>
  <si>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</si>
  <si>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</si>
  <si>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</si>
  <si>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</si>
  <si>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</si>
  <si>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</si>
  <si>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</si>
  <si>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</si>
  <si>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</si>
  <si>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</si>
  <si>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</si>
  <si>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</si>
  <si>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</si>
  <si>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</si>
  <si>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</si>
  <si>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</si>
  <si>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</si>
  <si>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</si>
  <si>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</si>
  <si>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</si>
  <si>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</si>
  <si>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</si>
  <si>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</si>
  <si>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</si>
  <si>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</si>
  <si>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</si>
  <si>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</si>
  <si>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</si>
  <si>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</si>
  <si>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</si>
  <si>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</si>
  <si>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</si>
  <si>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</si>
  <si>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</si>
  <si>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</si>
  <si>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</si>
  <si>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</si>
  <si>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</si>
  <si>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</si>
  <si>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</si>
  <si>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</si>
  <si>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</si>
  <si>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</si>
  <si>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</si>
  <si>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</si>
  <si>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</si>
  <si>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</si>
  <si>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</si>
  <si>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</si>
  <si>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</si>
  <si>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</si>
  <si>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</si>
  <si>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</si>
  <si>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</si>
  <si>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</si>
  <si>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</si>
  <si>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</si>
  <si>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</si>
  <si>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</si>
  <si>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</si>
  <si>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</si>
  <si>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</si>
  <si>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</si>
  <si>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</si>
  <si>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</si>
  <si>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</si>
  <si>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</si>
  <si>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</si>
  <si>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</si>
  <si>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</si>
  <si>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</si>
  <si>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</si>
  <si>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</si>
  <si>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</si>
  <si>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</si>
  <si>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</si>
  <si>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</si>
  <si>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</si>
  <si>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</si>
  <si>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</si>
  <si>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</si>
  <si>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</si>
  <si>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</si>
  <si>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</si>
  <si>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</si>
  <si>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</si>
  <si>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</si>
  <si>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</si>
  <si>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</si>
  <si>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</si>
  <si>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</si>
  <si>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</si>
  <si>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</si>
  <si>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</si>
  <si>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</si>
  <si>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</si>
  <si>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</si>
  <si>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</si>
  <si>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</si>
  <si>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</si>
  <si>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</si>
  <si>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</si>
  <si>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</si>
  <si>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</si>
  <si>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</si>
  <si>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</si>
  <si>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</si>
  <si>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</si>
  <si>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</si>
  <si>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</si>
  <si>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</si>
  <si>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</si>
  <si>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</si>
  <si>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</si>
  <si>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</si>
  <si>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</si>
  <si>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</si>
  <si>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</si>
  <si>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</si>
  <si>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</si>
  <si>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</si>
  <si>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</si>
  <si>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</si>
  <si>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</si>
  <si>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</si>
  <si>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</si>
  <si>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</si>
  <si>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</si>
  <si>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</si>
  <si>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</si>
  <si>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</si>
  <si>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</si>
  <si>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</si>
  <si>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</si>
  <si>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</si>
  <si>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</si>
  <si>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</si>
  <si>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</si>
  <si>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</si>
  <si>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</si>
  <si>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</si>
  <si>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</si>
  <si>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</si>
  <si>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</si>
  <si>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</si>
  <si>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</si>
  <si>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</si>
  <si>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</si>
  <si>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</si>
  <si>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</si>
  <si>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</si>
  <si>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</si>
  <si>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</si>
  <si>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</si>
  <si>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</si>
  <si>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</si>
  <si>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</si>
  <si>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</si>
  <si>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</si>
  <si>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</si>
  <si>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</si>
  <si>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</si>
  <si>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</si>
  <si>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</si>
  <si>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</si>
  <si>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</si>
  <si>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</si>
  <si>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</si>
  <si>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</si>
  <si>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</si>
  <si>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</si>
  <si>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</si>
  <si>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</si>
  <si>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</si>
  <si>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</si>
  <si>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</si>
  <si>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</si>
  <si>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</si>
  <si>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</si>
  <si>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</si>
  <si>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</si>
  <si>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</si>
  <si>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</si>
  <si>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</si>
  <si>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</si>
  <si>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</si>
  <si>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</si>
  <si>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</si>
  <si>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</si>
  <si>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</si>
  <si>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</si>
  <si>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</si>
  <si>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</si>
  <si>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</si>
  <si>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</si>
  <si>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</si>
  <si>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</si>
  <si>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</si>
  <si>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</si>
  <si>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</si>
  <si>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</si>
  <si>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</si>
  <si>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</si>
  <si>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</si>
  <si>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</si>
  <si>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</si>
  <si>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</si>
  <si>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</si>
  <si>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</si>
  <si>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</si>
  <si>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</si>
  <si>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</si>
  <si>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</si>
  <si>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</si>
  <si>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</si>
  <si>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</si>
  <si>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</si>
  <si>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</si>
  <si>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</si>
  <si>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</si>
  <si>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</si>
  <si>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</si>
  <si>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</si>
  <si>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</si>
  <si>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</si>
  <si>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</si>
  <si>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</si>
  <si>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</si>
  <si>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</si>
  <si>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</si>
  <si>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</si>
  <si>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</si>
  <si>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</si>
  <si>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</si>
  <si>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</si>
  <si>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</si>
  <si>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</si>
  <si>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</si>
  <si>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</si>
  <si>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</si>
  <si>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</si>
  <si>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</si>
  <si>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</si>
  <si>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</si>
  <si>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</si>
  <si>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</si>
  <si>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</si>
  <si>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</si>
  <si>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</si>
  <si>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</si>
  <si>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</si>
  <si>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</si>
  <si>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</si>
  <si>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</si>
  <si>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</si>
  <si>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</si>
  <si>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</si>
  <si>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</si>
  <si>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</si>
  <si>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</si>
  <si>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</si>
  <si>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</si>
  <si>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</si>
  <si>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</si>
  <si>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</si>
  <si>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</si>
  <si>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</si>
  <si>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</si>
  <si>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</si>
  <si>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</si>
  <si>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</si>
  <si>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</si>
  <si>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</si>
  <si>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</si>
  <si>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</si>
  <si>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</si>
  <si>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</si>
  <si>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</si>
  <si>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</si>
  <si>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</si>
  <si>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</si>
  <si>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</si>
  <si>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</si>
  <si>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</si>
  <si>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</si>
  <si>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</si>
  <si>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</si>
  <si>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</si>
  <si>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</si>
  <si>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</si>
  <si>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</si>
  <si>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</si>
  <si>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</si>
  <si>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</si>
  <si>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</si>
  <si>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</si>
  <si>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</si>
  <si>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</si>
  <si>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</si>
  <si>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</si>
  <si>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</si>
  <si>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</si>
  <si>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</si>
  <si>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</si>
  <si>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</si>
  <si>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</si>
  <si>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</si>
  <si>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</si>
  <si>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</si>
  <si>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</si>
  <si>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</si>
  <si>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</si>
  <si>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</si>
  <si>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</si>
  <si>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</si>
  <si>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</si>
  <si>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</si>
  <si>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</si>
  <si>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</si>
  <si>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</si>
  <si>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</si>
  <si>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</si>
  <si>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</si>
  <si>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</si>
  <si>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</si>
  <si>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</si>
  <si>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</si>
  <si>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</si>
  <si>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</si>
  <si>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</si>
  <si>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</si>
  <si>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</si>
  <si>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</si>
  <si>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</si>
  <si>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</si>
  <si>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</si>
  <si>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</si>
  <si>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</si>
  <si>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</si>
  <si>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</si>
  <si>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</si>
  <si>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</si>
  <si>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</si>
  <si>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</si>
  <si>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</si>
  <si>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</si>
  <si>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</si>
  <si>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</si>
  <si>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</si>
  <si>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</si>
  <si>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</si>
  <si>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</si>
  <si>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</si>
  <si>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</si>
  <si>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</si>
  <si>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</si>
  <si>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</si>
  <si>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</si>
  <si>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</si>
  <si>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</si>
  <si>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</si>
  <si>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</si>
  <si>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</si>
  <si>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</si>
  <si>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</si>
  <si>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</si>
  <si>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</si>
  <si>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</si>
  <si>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</si>
  <si>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</si>
  <si>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</si>
  <si>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</si>
  <si>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</si>
  <si>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</si>
  <si>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</si>
  <si>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</si>
  <si>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</si>
  <si>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</si>
  <si>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</si>
  <si>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</si>
  <si>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</si>
  <si>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</si>
  <si>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</si>
  <si>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</si>
  <si>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</si>
  <si>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</si>
  <si>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</si>
  <si>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</si>
  <si>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</si>
  <si>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</si>
  <si>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</si>
  <si>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</si>
  <si>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</si>
  <si>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</si>
  <si>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</si>
  <si>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</si>
  <si>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</si>
  <si>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</si>
  <si>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</si>
  <si>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</si>
  <si>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</si>
  <si>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</si>
  <si>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</si>
  <si>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</si>
  <si>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</si>
  <si>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</si>
  <si>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</si>
  <si>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</si>
  <si>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</si>
  <si>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</si>
  <si>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</si>
  <si>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</si>
  <si>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</si>
  <si>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</si>
  <si>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</si>
  <si>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</si>
  <si>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</si>
  <si>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</si>
  <si>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</si>
  <si>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</si>
  <si>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</si>
  <si>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</si>
  <si>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</si>
  <si>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</si>
  <si>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</si>
  <si>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</si>
  <si>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</si>
  <si>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</si>
  <si>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</si>
  <si>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</si>
  <si>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</si>
  <si>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</si>
  <si>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</si>
  <si>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</si>
  <si>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</si>
  <si>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</si>
  <si>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</si>
  <si>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</si>
  <si>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</si>
  <si>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</si>
  <si>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</si>
  <si>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</si>
  <si>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</si>
  <si>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</si>
  <si>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</si>
  <si>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</si>
  <si>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</si>
  <si>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</si>
  <si>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</si>
  <si>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</si>
  <si>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</si>
  <si>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</si>
  <si>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</si>
  <si>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</si>
  <si>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</si>
  <si>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</si>
  <si>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</si>
  <si>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</si>
  <si>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</si>
  <si>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</si>
  <si>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</si>
  <si>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</si>
  <si>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</si>
  <si>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</si>
  <si>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</si>
  <si>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</si>
  <si>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</si>
  <si>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</si>
  <si>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</si>
  <si>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</si>
  <si>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</si>
  <si>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</si>
  <si>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</si>
  <si>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</si>
  <si>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</si>
  <si>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</si>
  <si>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</si>
  <si>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</si>
  <si>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</si>
  <si>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</si>
  <si>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</si>
  <si>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</si>
  <si>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</si>
  <si>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</si>
  <si>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</si>
  <si>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</si>
  <si>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</si>
  <si>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</si>
  <si>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</si>
  <si>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</si>
  <si>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</si>
  <si>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</si>
  <si>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</si>
  <si>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</si>
  <si>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</si>
  <si>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</si>
  <si>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</si>
  <si>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</si>
  <si>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</si>
  <si>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</si>
  <si>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</si>
  <si>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</si>
  <si>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</si>
  <si>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</si>
  <si>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</si>
  <si>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</si>
  <si>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</si>
  <si>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</si>
  <si>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</si>
  <si>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</si>
  <si>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</si>
  <si>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</si>
  <si>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</si>
  <si>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</si>
  <si>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</si>
  <si>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</si>
  <si>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</si>
  <si>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</si>
  <si>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</si>
  <si>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</si>
  <si>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</si>
  <si>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</si>
  <si>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</si>
  <si>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</si>
  <si>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</si>
  <si>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</si>
  <si>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</si>
  <si>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</si>
  <si>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</si>
  <si>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</si>
  <si>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</si>
  <si>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</si>
  <si>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</si>
  <si>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</si>
  <si>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</si>
  <si>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</si>
  <si>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</si>
  <si>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</si>
  <si>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</si>
  <si>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</si>
  <si>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</si>
  <si>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</si>
  <si>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</si>
  <si>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</si>
  <si>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</si>
  <si>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</si>
  <si>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</si>
  <si>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</si>
  <si>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</si>
  <si>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</si>
  <si>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</si>
  <si>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</si>
  <si>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</si>
  <si>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</si>
  <si>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</si>
  <si>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</si>
  <si>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</si>
  <si>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</si>
  <si>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</si>
  <si>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</si>
  <si>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</si>
  <si>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</si>
  <si>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</si>
  <si>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</si>
  <si>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</si>
  <si>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</si>
  <si>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</si>
  <si>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</si>
  <si>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</si>
  <si>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</si>
  <si>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</si>
  <si>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</si>
  <si>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</si>
  <si>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</si>
  <si>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</si>
  <si>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</si>
  <si>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</si>
  <si>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</si>
  <si>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</si>
  <si>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</si>
  <si>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</si>
  <si>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</si>
  <si>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</si>
  <si>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</si>
  <si>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</si>
  <si>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</si>
  <si>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</si>
  <si>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</si>
  <si>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</si>
  <si>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</si>
  <si>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</si>
  <si>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</si>
  <si>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</si>
  <si>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</si>
  <si>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</si>
  <si>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</si>
  <si>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</si>
  <si>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</si>
  <si>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</si>
  <si>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</si>
  <si>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</si>
  <si>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</si>
  <si>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</si>
  <si>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</si>
  <si>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</si>
  <si>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</si>
  <si>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</si>
  <si>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</si>
  <si>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</si>
  <si>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</si>
  <si>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</si>
  <si>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</si>
  <si>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</si>
  <si>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</si>
  <si>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</si>
  <si>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</si>
  <si>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</si>
  <si>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</si>
  <si>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</si>
  <si>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</si>
  <si>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</si>
  <si>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</si>
  <si>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</si>
  <si>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</si>
  <si>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</si>
  <si>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</si>
  <si>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</si>
  <si>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</si>
  <si>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</si>
  <si>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</si>
  <si>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</si>
  <si>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</si>
  <si>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</si>
  <si>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</si>
  <si>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</si>
  <si>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</si>
  <si>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</si>
  <si>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</si>
  <si>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</si>
  <si>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</si>
  <si>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</si>
  <si>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</si>
  <si>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</si>
  <si>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</si>
  <si>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</si>
  <si>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</si>
  <si>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</si>
  <si>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</si>
  <si>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</si>
  <si>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</si>
  <si>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</si>
  <si>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</si>
  <si>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</si>
  <si>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</si>
  <si>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</si>
  <si>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</si>
  <si>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</si>
  <si>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</si>
  <si>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</si>
  <si>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</si>
  <si>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</si>
  <si>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</si>
  <si>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</si>
  <si>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</si>
  <si>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</si>
  <si>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</si>
  <si>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</si>
  <si>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</si>
  <si>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</si>
  <si>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</si>
  <si>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</si>
  <si>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</si>
  <si>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</si>
  <si>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</si>
  <si>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</si>
  <si>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</si>
  <si>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</si>
  <si>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</si>
  <si>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</si>
  <si>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</si>
  <si>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</si>
  <si>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</si>
  <si>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</si>
  <si>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</si>
  <si>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</si>
  <si>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</si>
  <si>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</si>
  <si>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</si>
  <si>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</si>
  <si>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</si>
  <si>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</si>
  <si>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</si>
  <si>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</si>
  <si>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</si>
  <si>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</si>
  <si>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</si>
  <si>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</si>
  <si>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</si>
  <si>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</si>
  <si>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</si>
  <si>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</si>
  <si>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</si>
  <si>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</si>
  <si>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</si>
  <si>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</si>
  <si>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</si>
  <si>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</si>
  <si>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</si>
  <si>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</si>
  <si>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</si>
  <si>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</si>
  <si>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</si>
  <si>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</si>
  <si>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</si>
  <si>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</si>
  <si>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</si>
  <si>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</si>
  <si>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</si>
  <si>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</si>
  <si>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</si>
  <si>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</si>
  <si>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</si>
  <si>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</si>
  <si>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</si>
  <si>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</si>
  <si>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</si>
  <si>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</si>
  <si>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</si>
  <si>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</si>
  <si>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</si>
  <si>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</si>
  <si>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</si>
  <si>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</si>
  <si>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</si>
  <si>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</si>
  <si>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</si>
  <si>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</si>
  <si>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</si>
  <si>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</si>
  <si>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</si>
  <si>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</si>
  <si>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</si>
  <si>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</si>
  <si>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</si>
  <si>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</si>
  <si>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</si>
  <si>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</si>
  <si>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</si>
  <si>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</si>
  <si>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</si>
  <si>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</si>
  <si>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</si>
  <si>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</si>
  <si>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</si>
  <si>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</si>
  <si>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</si>
  <si>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</si>
  <si>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</si>
  <si>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</si>
  <si>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</si>
  <si>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</si>
  <si>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</si>
  <si>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</si>
  <si>
    <t>GO-Chitosan</t>
  </si>
  <si>
    <t>Graphene Oxide</t>
  </si>
  <si>
    <t>Chitosan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</si>
</sst>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9">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1" fontId="40" fillId="9" borderId="0" xfId="0" applyNumberFormat="1" applyFont="1" applyFill="1"/>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81">
    <dxf>
      <numFmt numFmtId="0" formatCode="General"/>
    </dxf>
    <dxf>
      <numFmt numFmtId="0" formatCode="General"/>
    </dxf>
    <dxf>
      <numFmt numFmtId="0" formatCode="General"/>
    </dxf>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-1.1292645564254324E+18</c:v>
                </c:pt>
                <c:pt idx="1">
                  <c:v>-9.318716268186725E+22</c:v>
                </c:pt>
                <c:pt idx="2">
                  <c:v>-6.2275160634235605E+25</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289.44944057979274</c:v>
                </c:pt>
                <c:pt idx="1">
                  <c:v>24.53558874636909</c:v>
                </c:pt>
                <c:pt idx="2">
                  <c:v>6.1555235612706407E-17</c:v>
                </c:pt>
                <c:pt idx="3">
                  <c:v>12.780661824065771</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8095.1431347125017</c:v>
                </c:pt>
                <c:pt idx="1">
                  <c:v>-1.1292645629151108E+18</c:v>
                </c:pt>
                <c:pt idx="2">
                  <c:v>-115190.25520013487</c:v>
                </c:pt>
                <c:pt idx="3">
                  <c:v>6964630.5430340329</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1.1531121859776011E-3</c:v>
                </c:pt>
                <c:pt idx="1">
                  <c:v>158641.39520285733</c:v>
                </c:pt>
                <c:pt idx="2">
                  <c:v>24004867.559995409</c:v>
                </c:pt>
                <c:pt idx="3">
                  <c:v>6458657051.5652761</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289.44944057979274</c:v>
                </c:pt>
                <c:pt idx="1">
                  <c:v>24.53558874636909</c:v>
                </c:pt>
                <c:pt idx="2">
                  <c:v>6.1555235612706407E-17</c:v>
                </c:pt>
                <c:pt idx="3">
                  <c:v>12.780661824065771</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8095.1431347125017</c:v>
                </c:pt>
                <c:pt idx="1">
                  <c:v>-1.1292645629151108E+18</c:v>
                </c:pt>
                <c:pt idx="2">
                  <c:v>-115190.25520013487</c:v>
                </c:pt>
                <c:pt idx="3">
                  <c:v>6964630.5430340329</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1.1531121859776011E-3</c:v>
                </c:pt>
                <c:pt idx="1">
                  <c:v>158641.39520285733</c:v>
                </c:pt>
                <c:pt idx="2">
                  <c:v>24004867.559995409</c:v>
                </c:pt>
                <c:pt idx="3">
                  <c:v>6458657051.5652761</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1.6787608719546332</c:v>
                </c:pt>
                <c:pt idx="1">
                  <c:v>1.6618455913492416E-3</c:v>
                </c:pt>
                <c:pt idx="2">
                  <c:v>1.2499347530570215E-22</c:v>
                </c:pt>
                <c:pt idx="3">
                  <c:v>9.8838116598379635E-4</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1801.3386375557113</c:v>
                </c:pt>
                <c:pt idx="1">
                  <c:v>-9.3187162681866797E+22</c:v>
                </c:pt>
                <c:pt idx="2">
                  <c:v>-475276272.85551208</c:v>
                </c:pt>
                <c:pt idx="3">
                  <c:v>331919.2148626119</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1.4904150249030746E-4</c:v>
                </c:pt>
                <c:pt idx="1">
                  <c:v>886562.4309443786</c:v>
                </c:pt>
                <c:pt idx="2">
                  <c:v>7226510.4900001856</c:v>
                </c:pt>
                <c:pt idx="3">
                  <c:v>398108.83913878677</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1.4298454517066895E-3</c:v>
                </c:pt>
                <c:pt idx="1">
                  <c:v>1.2122206165196961E-6</c:v>
                </c:pt>
                <c:pt idx="2">
                  <c:v>5.1650144893826948E-33</c:v>
                </c:pt>
                <c:pt idx="3">
                  <c:v>8.9604500885737869E-7</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58.895616219604307</c:v>
                </c:pt>
                <c:pt idx="1">
                  <c:v>-6.227516063423558E+25</c:v>
                </c:pt>
                <c:pt idx="2">
                  <c:v>-20496785071.334225</c:v>
                </c:pt>
                <c:pt idx="3">
                  <c:v>6617.9045770642333</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2.7606281323730277E-6</c:v>
                </c:pt>
                <c:pt idx="1">
                  <c:v>1167794790.9732537</c:v>
                </c:pt>
                <c:pt idx="2">
                  <c:v>622195064.56387591</c:v>
                </c:pt>
                <c:pt idx="3">
                  <c:v>209.35759116903111</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1.6787608719546332</c:v>
                </c:pt>
                <c:pt idx="1">
                  <c:v>1.6618455913492416E-3</c:v>
                </c:pt>
                <c:pt idx="2">
                  <c:v>1.2499347530570215E-22</c:v>
                </c:pt>
                <c:pt idx="3">
                  <c:v>9.8838116598379635E-4</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1801.3386375557113</c:v>
                </c:pt>
                <c:pt idx="1">
                  <c:v>-9.3187162681866797E+22</c:v>
                </c:pt>
                <c:pt idx="2">
                  <c:v>-475276272.85551208</c:v>
                </c:pt>
                <c:pt idx="3">
                  <c:v>331919.2148626119</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1.4904150249030746E-4</c:v>
                </c:pt>
                <c:pt idx="1">
                  <c:v>886562.4309443786</c:v>
                </c:pt>
                <c:pt idx="2">
                  <c:v>7226510.4900001856</c:v>
                </c:pt>
                <c:pt idx="3">
                  <c:v>398108.83913878677</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1.4298454517066895E-3</c:v>
                </c:pt>
                <c:pt idx="1">
                  <c:v>1.2122206165196961E-6</c:v>
                </c:pt>
                <c:pt idx="2">
                  <c:v>5.1650144893826948E-33</c:v>
                </c:pt>
                <c:pt idx="3">
                  <c:v>8.9604500885737869E-7</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58.895616219604307</c:v>
                </c:pt>
                <c:pt idx="1">
                  <c:v>-6.227516063423558E+25</c:v>
                </c:pt>
                <c:pt idx="2">
                  <c:v>-20496785071.334225</c:v>
                </c:pt>
                <c:pt idx="3">
                  <c:v>6617.9045770642333</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2.7606281323730277E-6</c:v>
                </c:pt>
                <c:pt idx="1">
                  <c:v>1167794790.9732537</c:v>
                </c:pt>
                <c:pt idx="2">
                  <c:v>622195064.56387591</c:v>
                </c:pt>
                <c:pt idx="3">
                  <c:v>209.35759116903111</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8384.5937284044794</c:v>
                </c:pt>
                <c:pt idx="1">
                  <c:v>1803.0175474691684</c:v>
                </c:pt>
                <c:pt idx="2" formatCode="0.00E+00">
                  <c:v>58.897048825684145</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-1.1292645629149521E+18</c:v>
                </c:pt>
                <c:pt idx="1">
                  <c:v>-9.3187162681866797E+22</c:v>
                </c:pt>
                <c:pt idx="2">
                  <c:v>-6.227516063423558E+25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23889677.304795276</c:v>
                </c:pt>
                <c:pt idx="1">
                  <c:v>-468049762.36551189</c:v>
                </c:pt>
                <c:pt idx="2">
                  <c:v>-19874590006.770348</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6465621694.8889723</c:v>
                </c:pt>
                <c:pt idx="1">
                  <c:v>730028.05498977983</c:v>
                </c:pt>
                <c:pt idx="2">
                  <c:v>6827.2621691293089</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326.76569115022767</c:v>
                </c:pt>
                <c:pt idx="1">
                  <c:v>1.6814110987119661</c:v>
                </c:pt>
                <c:pt idx="2">
                  <c:v>1.4319537173320667E-3</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-1.1292645629082534E+18</c:v>
                </c:pt>
                <c:pt idx="1">
                  <c:v>-9.3187162681867267E+22</c:v>
                </c:pt>
                <c:pt idx="2">
                  <c:v>-6.2275160634235605E+25</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6482820560.5216274</c:v>
                </c:pt>
                <c:pt idx="1">
                  <c:v>8511181.7602323927</c:v>
                </c:pt>
                <c:pt idx="2">
                  <c:v>1789990064.8947239</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326.76569115022767</c:v>
                </c:pt>
                <c:pt idx="1">
                  <c:v>1.6814110987119661</c:v>
                </c:pt>
                <c:pt idx="2">
                  <c:v>1.4319537173320667E-3</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-1.1292645629082534E+18</c:v>
                </c:pt>
                <c:pt idx="1">
                  <c:v>-9.3187162681867267E+22</c:v>
                </c:pt>
                <c:pt idx="2">
                  <c:v>-6.2275160634235605E+25</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6482820560.5216274</c:v>
                </c:pt>
                <c:pt idx="1">
                  <c:v>8511181.7602323927</c:v>
                </c:pt>
                <c:pt idx="2">
                  <c:v>1789990064.8947239</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8384.5937284044794</c:v>
                </c:pt>
                <c:pt idx="1">
                  <c:v>-1.1292645629149521E+18</c:v>
                </c:pt>
                <c:pt idx="2">
                  <c:v>23889677.304795276</c:v>
                </c:pt>
                <c:pt idx="3">
                  <c:v>6465621694.8889723</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1803.0175474691684</c:v>
                </c:pt>
                <c:pt idx="1">
                  <c:v>-9.3187162681866797E+22</c:v>
                </c:pt>
                <c:pt idx="2">
                  <c:v>-468049762.36551189</c:v>
                </c:pt>
                <c:pt idx="3">
                  <c:v>730028.05498977983</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58.897048825684145</c:v>
                </c:pt>
                <c:pt idx="1">
                  <c:v>-6.227516063423558E+25</c:v>
                </c:pt>
                <c:pt idx="2">
                  <c:v>-19874590006.770348</c:v>
                </c:pt>
                <c:pt idx="3">
                  <c:v>6827.2621691293089</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326.76569115022767</c:v>
                </c:pt>
                <c:pt idx="1">
                  <c:v>-1.1292645629082534E+18</c:v>
                </c:pt>
                <c:pt idx="2">
                  <c:v>6482820560.5216274</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1.6814110987119661</c:v>
                </c:pt>
                <c:pt idx="1">
                  <c:v>-9.3187162681867267E+22</c:v>
                </c:pt>
                <c:pt idx="2">
                  <c:v>8511181.7602323927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1.4319537173320667E-3</c:v>
                </c:pt>
                <c:pt idx="1">
                  <c:v>-6.2275160634235605E+25</c:v>
                </c:pt>
                <c:pt idx="2">
                  <c:v>1789990064.8947239</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289.44944057979274</c:v>
                </c:pt>
                <c:pt idx="1">
                  <c:v>8095.1431347125017</c:v>
                </c:pt>
                <c:pt idx="2">
                  <c:v>1.1531121859776011E-3</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24.53558874636909</c:v>
                </c:pt>
                <c:pt idx="1">
                  <c:v>-1.1292645629151108E+18</c:v>
                </c:pt>
                <c:pt idx="2">
                  <c:v>158641.39520285733</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6.1555235612706407E-17</c:v>
                </c:pt>
                <c:pt idx="1">
                  <c:v>-115190.25520013487</c:v>
                </c:pt>
                <c:pt idx="2">
                  <c:v>24004867.559995409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12.780661824065771</c:v>
                </c:pt>
                <c:pt idx="1">
                  <c:v>6964630.5430340329</c:v>
                </c:pt>
                <c:pt idx="2">
                  <c:v>6458657051.5652761</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1.4298454517066895E-3</c:v>
                </c:pt>
                <c:pt idx="1">
                  <c:v>58.895616219604307</c:v>
                </c:pt>
                <c:pt idx="2">
                  <c:v>2.7606281323730277E-6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1.2122206165196961E-6</c:v>
                </c:pt>
                <c:pt idx="1">
                  <c:v>-6.227516063423558E+25</c:v>
                </c:pt>
                <c:pt idx="2">
                  <c:v>1167794790.9732537</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5.1650144893826948E-33</c:v>
                </c:pt>
                <c:pt idx="1">
                  <c:v>-20496785071.334225</c:v>
                </c:pt>
                <c:pt idx="2">
                  <c:v>622195064.56387591</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8.9604500885737869E-7</c:v>
                </c:pt>
                <c:pt idx="1">
                  <c:v>6617.9045770642333</c:v>
                </c:pt>
                <c:pt idx="2">
                  <c:v>209.35759116903111</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1.6787608719546332</c:v>
                </c:pt>
                <c:pt idx="1">
                  <c:v>1801.3386375557113</c:v>
                </c:pt>
                <c:pt idx="2">
                  <c:v>1.4904150249030746E-4</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1.6618455913492416E-3</c:v>
                </c:pt>
                <c:pt idx="1">
                  <c:v>-9.3187162681866797E+22</c:v>
                </c:pt>
                <c:pt idx="2">
                  <c:v>886562.4309443786</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1.2499347530570215E-22</c:v>
                </c:pt>
                <c:pt idx="1">
                  <c:v>-475276272.85551208</c:v>
                </c:pt>
                <c:pt idx="2">
                  <c:v>7226510.4900001856</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9.8838116598379635E-4</c:v>
                </c:pt>
                <c:pt idx="1">
                  <c:v>331919.2148626119</c:v>
                </c:pt>
                <c:pt idx="2">
                  <c:v>398108.83913878677</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-1.508638847263134E+25</c:v>
                </c:pt>
                <c:pt idx="1">
                  <c:v>-9.9886060208361701E+24</c:v>
                </c:pt>
                <c:pt idx="2">
                  <c:v>-3.7200166140768091E+25</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107964" y="193638"/>
          <a:ext cx="2777939" cy="78990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30516195" y="7250430"/>
          <a:ext cx="316230"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30489525" y="17104995"/>
          <a:ext cx="31623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30462855" y="26184225"/>
          <a:ext cx="308610" cy="175450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895290" y="800100"/>
          <a:ext cx="1130236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895290" y="10515600"/>
          <a:ext cx="1130236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691455" y="20293965"/>
          <a:ext cx="3985260" cy="530161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5092005" y="20293965"/>
          <a:ext cx="3985260" cy="530161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9492555" y="20293965"/>
          <a:ext cx="4042410" cy="530161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109375" defaultRowHeight="12.75" customHeight="1" x14ac:dyDescent="0.3"/>
  <cols>
    <col min="1" max="1" width="3.5546875" style="2" customWidth="1" collapsed="1"/>
    <col min="2" max="2" width="15.6640625" style="2" customWidth="1" collapsed="1"/>
    <col min="3" max="3" width="10.88671875" style="2" customWidth="1" collapsed="1"/>
    <col min="4" max="16" width="11.6640625" style="2" customWidth="1" collapsed="1"/>
    <col min="17" max="16384" width="9.109375" style="2" collapsed="1"/>
  </cols>
  <sheetData>
    <row r="2" spans="2:23" ht="12.75" customHeight="1" x14ac:dyDescent="0.3">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 customHeight="1" x14ac:dyDescent="0.3">
      <c r="B25" s="3" t="s">
        <v>18</v>
      </c>
      <c r="O25" s="240"/>
    </row>
    <row r="26" spans="2:15" ht="12.6" customHeight="1" x14ac:dyDescent="0.3">
      <c r="B26" s="992">
        <v>45401</v>
      </c>
      <c r="C26" s="2" t="s">
        <v>19</v>
      </c>
      <c r="D26" s="141" t="s">
        <v>4776</v>
      </c>
      <c r="O26" s="240"/>
    </row>
    <row r="27" spans="2:15" ht="12.6" customHeight="1" x14ac:dyDescent="0.3">
      <c r="B27" s="992">
        <v>45401</v>
      </c>
      <c r="D27" s="141" t="s">
        <v>4775</v>
      </c>
      <c r="O27" s="240"/>
    </row>
    <row r="28" spans="2:15" ht="12.6" customHeight="1" x14ac:dyDescent="0.3">
      <c r="B28" s="992">
        <v>45399</v>
      </c>
      <c r="C28" s="141" t="s">
        <v>19</v>
      </c>
      <c r="D28" s="141" t="s">
        <v>4770</v>
      </c>
      <c r="O28" s="240"/>
    </row>
    <row r="29" spans="2:15" ht="12.6" customHeight="1" x14ac:dyDescent="0.3">
      <c r="B29" s="992">
        <v>45399</v>
      </c>
      <c r="C29" s="141" t="s">
        <v>19</v>
      </c>
      <c r="D29" s="141" t="s">
        <v>20</v>
      </c>
      <c r="E29" s="141"/>
      <c r="F29" s="141"/>
      <c r="G29" s="141"/>
      <c r="H29" s="141"/>
      <c r="I29" s="141"/>
      <c r="J29" s="141"/>
      <c r="K29" s="141"/>
      <c r="O29" s="240"/>
    </row>
    <row r="30" spans="2:15" ht="12.6" customHeight="1" x14ac:dyDescent="0.3">
      <c r="B30" s="992">
        <v>45399</v>
      </c>
      <c r="C30" s="992" t="s">
        <v>19</v>
      </c>
      <c r="D30" s="141" t="s">
        <v>21</v>
      </c>
      <c r="E30" s="141"/>
      <c r="F30" s="141"/>
      <c r="G30" s="141"/>
      <c r="H30" s="141"/>
      <c r="I30" s="141"/>
      <c r="J30" s="141"/>
      <c r="K30" s="141"/>
      <c r="O30" s="240"/>
    </row>
    <row r="31" spans="2:15" ht="12.6" customHeight="1" x14ac:dyDescent="0.3">
      <c r="B31" s="992">
        <v>45397</v>
      </c>
      <c r="C31" s="141" t="s">
        <v>19</v>
      </c>
      <c r="D31" s="141" t="s">
        <v>22</v>
      </c>
      <c r="E31" s="141"/>
      <c r="F31" s="141"/>
      <c r="G31" s="141"/>
      <c r="H31" s="141"/>
      <c r="I31" s="141"/>
      <c r="J31" s="141"/>
      <c r="K31" s="141"/>
      <c r="L31" s="141"/>
      <c r="O31" s="240"/>
    </row>
    <row r="32" spans="2:15" ht="12.6" customHeight="1" x14ac:dyDescent="0.3">
      <c r="B32" s="992">
        <v>45397</v>
      </c>
      <c r="C32" s="141" t="s">
        <v>19</v>
      </c>
      <c r="D32" s="141" t="s">
        <v>23</v>
      </c>
      <c r="E32" s="141"/>
      <c r="F32" s="141"/>
      <c r="G32" s="141"/>
      <c r="H32" s="141"/>
      <c r="I32" s="141"/>
      <c r="J32" s="141"/>
      <c r="K32" s="141"/>
      <c r="L32" s="141"/>
      <c r="O32" s="240"/>
    </row>
    <row r="33" spans="2:15" ht="12.6"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40" zoomScaleNormal="100" workbookViewId="0">
      <selection activeCell="AF85" sqref="AF85"/>
    </sheetView>
  </sheetViews>
  <sheetFormatPr defaultColWidth="9.109375" defaultRowHeight="12.75" customHeight="1" x14ac:dyDescent="0.3"/>
  <cols>
    <col min="1" max="1" width="2.5546875" style="26" customWidth="1" collapsed="1"/>
    <col min="2" max="2" width="45.44140625" style="26" customWidth="1" collapsed="1"/>
    <col min="3" max="3" width="12.5546875" style="29" customWidth="1" collapsed="1"/>
    <col min="4" max="12" width="8.6640625" style="29" customWidth="1" collapsed="1"/>
    <col min="13" max="14" width="8.6640625" style="23" customWidth="1" collapsed="1"/>
    <col min="15" max="15" width="13.109375" style="23" customWidth="1" collapsed="1"/>
    <col min="16" max="17" width="8.6640625" style="23" customWidth="1" collapsed="1"/>
    <col min="18" max="23" width="8.6640625" style="29" customWidth="1" collapsed="1"/>
    <col min="24" max="26" width="3.6640625" style="26" customWidth="1" collapsed="1"/>
    <col min="27" max="27" width="21" style="26" customWidth="1" collapsed="1"/>
    <col min="28" max="32" width="10.6640625" style="26" customWidth="1" collapsed="1"/>
    <col min="33" max="33" width="10.6640625" style="26" customWidth="1"/>
    <col min="34" max="42" width="10.6640625" style="26" customWidth="1" collapsed="1"/>
    <col min="43" max="43" width="3.33203125" style="26" customWidth="1" collapsed="1"/>
    <col min="44" max="44" width="3.6640625" style="26" customWidth="1" collapsed="1"/>
    <col min="45" max="45" width="4" style="26" hidden="1" customWidth="1" collapsed="1"/>
    <col min="46" max="46" width="25.88671875" style="26" hidden="1" customWidth="1" collapsed="1"/>
    <col min="47" max="62" width="0" style="26" hidden="1" customWidth="1" collapsed="1"/>
    <col min="63" max="63" width="3.5546875" style="26" hidden="1" customWidth="1" collapsed="1"/>
    <col min="64" max="64" width="0" style="26" hidden="1" customWidth="1" collapsed="1"/>
    <col min="65" max="65" width="3.33203125" style="26" customWidth="1" collapsed="1"/>
    <col min="66" max="82" width="10.6640625" style="26" customWidth="1" collapsed="1"/>
    <col min="83" max="83" width="11.5546875" style="26" customWidth="1" collapsed="1"/>
    <col min="84" max="84" width="9.109375" style="26"/>
    <col min="85" max="16384" width="9.10937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GO-Chitosan</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45461</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5">
      <c r="A5" s="17"/>
      <c r="B5" s="21" t="s">
        <v>85</v>
      </c>
      <c r="C5" s="918" t="str">
        <f>ChemName</f>
        <v>GO-Chitosan</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GO-Chitosan</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35">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8384.5937284044794</v>
      </c>
      <c r="D11" s="446">
        <f t="shared" ref="D11:D17" si="0">C11/$C$103</f>
        <v>-7.4248267872189531E-15</v>
      </c>
      <c r="E11" s="453">
        <f>SUM(E12,E15:E17)</f>
        <v>1803.0175474691684</v>
      </c>
      <c r="F11" s="446">
        <f t="shared" ref="F11:F17" si="1">E11/$E$103</f>
        <v>-1.9348346870743464E-20</v>
      </c>
      <c r="G11" s="445">
        <f>SUM(G12,G15:G17)</f>
        <v>57.169365340223557</v>
      </c>
      <c r="H11" s="446">
        <f t="shared" ref="H11:H17" si="2">G11/$G$103</f>
        <v>-3.7894666071960285E-24</v>
      </c>
      <c r="I11" s="445">
        <f>SUM(I12,I15:I17)</f>
        <v>1.1996748891099953</v>
      </c>
      <c r="J11" s="446">
        <f t="shared" ref="J11:J17" si="3">I11/$I$103</f>
        <v>-1.2010433554066312E-25</v>
      </c>
      <c r="K11" s="445">
        <f>SUM(K12,K15:K17)</f>
        <v>0.52800859635059472</v>
      </c>
      <c r="L11" s="461">
        <f t="shared" ref="L11:L17" si="4">K11/$K$103</f>
        <v>-1.419371608052965E-26</v>
      </c>
      <c r="M11" s="459">
        <f xml:space="preserve"> (M.aRG+M.aRS+M.aRA+M.aRP+M.cwRS+M.cwRA+M.cwRP)*(Molweight*1000)/(VOLUME.aR+VOLUME.cwR)</f>
        <v>3.6523037541513415E-8</v>
      </c>
      <c r="N11" s="459">
        <f xml:space="preserve"> (M.aCG+M.aCS+M.aCA+M.aCP+M.cwCS+M.cwCA+M.cwCP)*Molweight*1000/(VOLUME.aC+VOLUME.cwC)</f>
        <v>2.5044519185600317E-10</v>
      </c>
      <c r="O11" s="459">
        <f xml:space="preserve"> (M.aMG+M.aMS+M.aMA+M.aMP+M.cwMS+M.cwMA+M.cwMP)*Molweight*1000/(VOLUME.aM+VOLUME.cwM)</f>
        <v>7.3699233839460341E-13</v>
      </c>
      <c r="P11" s="459">
        <f xml:space="preserve"> (M.aAG+M.aAS+M.aAA+M.aAP+M.cwAS+M.cwAA+M.cwAP)*Molweight*1000/(VOLUME.aA+VOLUME.cwA)</f>
        <v>2.8227644449649493E-14</v>
      </c>
      <c r="Q11" s="459">
        <f xml:space="preserve"> (M.aTG+M.aTS+M.aTA+M.aTP+M.cwTS+M.cwTA+M.cwTP)*Molweight*1000/(VOLUME.aT+VOLUME.cwT)</f>
        <v>4.1412438929462136E-15</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
      <c r="A15" s="17"/>
      <c r="B15" s="159" t="s">
        <v>147</v>
      </c>
      <c r="C15" s="295">
        <f>(M.aRS+M.cwRS)*Molweight</f>
        <v>289.44944057979274</v>
      </c>
      <c r="D15" s="446">
        <f t="shared" si="0"/>
        <v>-2.5631676734459315E-16</v>
      </c>
      <c r="E15" s="296">
        <f>(M.aCS+M.cwCS)*Molweight</f>
        <v>1.6787608719546332</v>
      </c>
      <c r="F15" s="446">
        <f t="shared" si="1"/>
        <v>-1.8014937075461505E-23</v>
      </c>
      <c r="G15" s="296">
        <f>(M.aMS+M.cwMS)*Molweight</f>
        <v>1.4289414013128625E-3</v>
      </c>
      <c r="H15" s="446">
        <f t="shared" si="2"/>
        <v>-9.4717261450952762E-29</v>
      </c>
      <c r="I15" s="296">
        <f>(M.aAS+M.cwAS)*Molweight</f>
        <v>3.6318010370649007E-7</v>
      </c>
      <c r="J15" s="446">
        <f t="shared" si="3"/>
        <v>-3.6359438238819174E-32</v>
      </c>
      <c r="K15" s="296">
        <f>(M.aTS+M.cwTS)*Molweight</f>
        <v>5.4087029012058646E-7</v>
      </c>
      <c r="L15" s="461">
        <f t="shared" si="4"/>
        <v>-1.4539458992572628E-32</v>
      </c>
      <c r="M15" s="124">
        <f>(M.aRS+M.cwRS)*(Molweight*1000)/(VOLUME.aR + VOLUME.cwR)</f>
        <v>1.2608330382010662E-9</v>
      </c>
      <c r="N15" s="124">
        <f>(M.aCS+M.cwCS)*(Molweight*1000)/(VOLUME.aC + VOLUME.cwC)</f>
        <v>2.3318552237452291E-13</v>
      </c>
      <c r="O15" s="124">
        <f>(M.aMS+M.cwMS)*(Molweight*1000)/(VOLUME.aM + VOLUME.cwM)</f>
        <v>1.8421034736264048E-17</v>
      </c>
      <c r="P15" s="124">
        <f>(M.aAS+M.cwAS)*(Molweight*1000)/(VOLUME.aA + VOLUME.cwA)</f>
        <v>8.5454142048593588E-21</v>
      </c>
      <c r="Q15" s="124">
        <f>(M.aTS+M.cwTS)*(Molweight*1000)/(VOLUME.aT + VOLUME.cwT)</f>
        <v>4.242119922514784E-21</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150</v>
      </c>
      <c r="C16" s="295">
        <f>(M.aRA+M.cwRA)*Molweight</f>
        <v>8095.1431347125017</v>
      </c>
      <c r="D16" s="446">
        <f t="shared" si="0"/>
        <v>-7.1685089987565197E-15</v>
      </c>
      <c r="E16" s="296">
        <f>(M.aCA+M.cwCA)*Molweight</f>
        <v>1801.3386375557113</v>
      </c>
      <c r="F16" s="446">
        <f t="shared" si="1"/>
        <v>-1.9330330334289955E-20</v>
      </c>
      <c r="G16" s="296">
        <f>(M.aMA+M.cwMA)*Molweight</f>
        <v>57.167933687608119</v>
      </c>
      <c r="H16" s="446">
        <f t="shared" si="2"/>
        <v>-3.7893717102219759E-24</v>
      </c>
      <c r="I16" s="296">
        <f>(M.aAA+M.cwAA)*Molweight</f>
        <v>1.1996744893498814</v>
      </c>
      <c r="J16" s="446">
        <f t="shared" si="3"/>
        <v>-1.2010429551905119E-25</v>
      </c>
      <c r="K16" s="296">
        <f>(M.aTA+M.cwTA)*Molweight</f>
        <v>0.52800804264630374</v>
      </c>
      <c r="L16" s="461">
        <f t="shared" si="4"/>
        <v>-1.4193701196072175E-26</v>
      </c>
      <c r="M16" s="124">
        <f>(M.aRA+M.cwRA)*(Molweight*1000)/(VOLUME.aR + VOLUME.cwR)</f>
        <v>3.5262199480390424E-8</v>
      </c>
      <c r="N16" s="124">
        <f>(M.aCA+M.cwCA)*(Molweight*1000)/(VOLUME.aC + VOLUME.cwC)</f>
        <v>2.5021198563126346E-10</v>
      </c>
      <c r="O16" s="124">
        <f>(M.aMA+M.cwMA)*(Molweight*1000)/(VOLUME.aM + VOLUME.cwM)</f>
        <v>7.3697388240856031E-13</v>
      </c>
      <c r="P16" s="124">
        <f>(M.aAA+M.cwAA)*(Molweight*1000)/(VOLUME.aA + VOLUME.cwA)</f>
        <v>2.8227635043529162E-14</v>
      </c>
      <c r="Q16" s="124">
        <f>(M.aTA+M.cwTA)*(Molweight*1000)/(VOLUME.aT + VOLUME.cwT)</f>
        <v>4.1412395501674605E-15</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152</v>
      </c>
      <c r="C17" s="295">
        <f>(M.aRP+M.cwRP)*Molweight</f>
        <v>1.1531121859776011E-3</v>
      </c>
      <c r="D17" s="446">
        <f t="shared" si="0"/>
        <v>-1.021117841179445E-21</v>
      </c>
      <c r="E17" s="296">
        <f>(M.aCP+M.cwCP)*Molweight</f>
        <v>1.4904150249030746E-4</v>
      </c>
      <c r="F17" s="446">
        <f t="shared" si="1"/>
        <v>-1.5993780495187089E-27</v>
      </c>
      <c r="G17" s="296">
        <f>(M.aMP+M.cwMP)*Molweight</f>
        <v>2.7112141214133545E-6</v>
      </c>
      <c r="H17" s="446">
        <f t="shared" si="2"/>
        <v>-1.7971260161647352E-31</v>
      </c>
      <c r="I17" s="296">
        <f>(M.aAP+M.cwAP)*Molweight</f>
        <v>3.6580010068402586E-8</v>
      </c>
      <c r="J17" s="446">
        <f t="shared" si="3"/>
        <v>-3.66217367990057E-33</v>
      </c>
      <c r="K17" s="296">
        <f>(M.aTP+M.cwTP)*Molweight</f>
        <v>1.28340008912709E-8</v>
      </c>
      <c r="L17" s="461">
        <f t="shared" si="4"/>
        <v>-3.4499848314403012E-34</v>
      </c>
      <c r="M17" s="124">
        <f>(M.aRP+M.cwRP)*(Molweight*1000)/(VOLUME.aR + VOLUME.cwR)</f>
        <v>5.022921923499172E-15</v>
      </c>
      <c r="N17" s="124">
        <f>(M.aCP+M.cwCP)*(Molweight*1000)/(VOLUME.aC + VOLUME.cwC)</f>
        <v>2.0702365175583688E-17</v>
      </c>
      <c r="O17" s="124">
        <f>(M.aMP+M.cwMP)*(Molweight*1000)/(VOLUME.aM + VOLUME.cwM)</f>
        <v>3.4951306934013351E-20</v>
      </c>
      <c r="P17" s="124">
        <f>(M.aAP+M.cwAP)*(Molweight*1000)/(VOLUME.aA + VOLUME.cwA)</f>
        <v>8.6070611925660887E-22</v>
      </c>
      <c r="Q17" s="124">
        <f>(M.aTP+M.cwTP)*(Molweight*1000)/(VOLUME.aT + VOLUME.cwT)</f>
        <v>1.0065883051978083E-22</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
      <c r="A19" s="17"/>
      <c r="B19" s="104" t="s">
        <v>157</v>
      </c>
      <c r="C19" s="295">
        <f>SUM(C20,C23:C25)</f>
        <v>17624642.145635888</v>
      </c>
      <c r="D19" s="446">
        <f t="shared" ref="D19:D25" si="5">C19/$C$103</f>
        <v>-1.5607186150803164E-11</v>
      </c>
      <c r="E19" s="295">
        <f>SUM(E20,E23:E25)</f>
        <v>957515.23060394102</v>
      </c>
      <c r="F19" s="446">
        <f t="shared" ref="F19:F25" si="6">E19/$E$103</f>
        <v>-1.0275183867039857E-17</v>
      </c>
      <c r="G19" s="296"/>
      <c r="H19" s="446"/>
      <c r="I19" s="296"/>
      <c r="J19" s="446"/>
      <c r="K19" s="296"/>
      <c r="L19" s="461"/>
      <c r="M19" s="459">
        <f>(M.w0RD+M.w0RS+M.w0RA+M.w0RP)*Molweight/(VOLUME.w0R)</f>
        <v>3.0843316525591094E-4</v>
      </c>
      <c r="N19" s="459">
        <f>(M.w0CD+M.w0CS+M.w0CA+M.w0CP)*Molweight/(VOLUME.w0C)</f>
        <v>1.0987483425561025E-6</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5.5203596836891369E-2</v>
      </c>
      <c r="D23" s="446">
        <f t="shared" si="5"/>
        <v>-4.8884556344912233E-20</v>
      </c>
      <c r="E23" s="295">
        <f>M.w0CS*Molweight</f>
        <v>1.5500571756174364E-4</v>
      </c>
      <c r="F23" s="446">
        <f t="shared" si="6"/>
        <v>-1.6633805891367191E-27</v>
      </c>
      <c r="G23" s="296"/>
      <c r="H23" s="446"/>
      <c r="I23" s="296"/>
      <c r="J23" s="446"/>
      <c r="K23" s="296"/>
      <c r="L23" s="461"/>
      <c r="M23" s="124">
        <f>C.w0RS*Molweight</f>
        <v>9.6606898257674011E-13</v>
      </c>
      <c r="N23" s="124">
        <f>C.w0CS*Molweight</f>
        <v>1.7786899864795128E-16</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35">
      <c r="A24" s="17"/>
      <c r="B24" s="159" t="s">
        <v>150</v>
      </c>
      <c r="C24" s="295">
        <f>M.w0RA*Molweight</f>
        <v>17587921.094672199</v>
      </c>
      <c r="D24" s="446">
        <f t="shared" si="5"/>
        <v>-1.5574668481887809E-11</v>
      </c>
      <c r="E24" s="295">
        <f>M.w0CA*Molweight</f>
        <v>957512.38871131954</v>
      </c>
      <c r="F24" s="446">
        <f t="shared" si="6"/>
        <v>-1.0275153370429169E-17</v>
      </c>
      <c r="G24" s="296"/>
      <c r="H24" s="446"/>
      <c r="I24" s="296"/>
      <c r="J24" s="446"/>
      <c r="K24" s="296"/>
      <c r="L24" s="461"/>
      <c r="M24" s="124">
        <f>C.w0RA*Molweight</f>
        <v>3.0779054284765632E-4</v>
      </c>
      <c r="N24" s="124">
        <f>C.w0CA*Molweight</f>
        <v>1.0987450814854607E-6</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
      <c r="A25" s="17"/>
      <c r="B25" s="159" t="s">
        <v>152</v>
      </c>
      <c r="C25" s="295">
        <f>M.w0RP*Molweight</f>
        <v>36720.995760091195</v>
      </c>
      <c r="D25" s="446">
        <f t="shared" si="5"/>
        <v>-3.2517620030799183E-14</v>
      </c>
      <c r="E25" s="295">
        <f>M.w0CP*Molweight</f>
        <v>2.8417376157717706</v>
      </c>
      <c r="F25" s="446">
        <f t="shared" si="6"/>
        <v>-3.0494947308066584E-23</v>
      </c>
      <c r="G25" s="296"/>
      <c r="H25" s="446"/>
      <c r="I25" s="296"/>
      <c r="J25" s="446"/>
      <c r="K25" s="296"/>
      <c r="L25" s="461"/>
      <c r="M25" s="124">
        <f>C.w0RP*Molweight</f>
        <v>6.4262144218560955E-7</v>
      </c>
      <c r="N25" s="124">
        <f>C.w0CP*Molweight</f>
        <v>3.2608927727856365E-12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35">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3">
      <c r="A27" s="17"/>
      <c r="B27" s="104" t="s">
        <v>174</v>
      </c>
      <c r="C27" s="295">
        <f>SUM(C28,C31:C33)</f>
        <v>2026481.9676244138</v>
      </c>
      <c r="D27" s="446">
        <f t="shared" ref="D27:D33" si="7">C27/$C$103</f>
        <v>-1.7945148070873917E-12</v>
      </c>
      <c r="E27" s="295">
        <f>SUM(E28,E31:E33)</f>
        <v>157.97734233742344</v>
      </c>
      <c r="F27" s="446">
        <f t="shared" ref="F27:F33" si="8">E27/$E$103</f>
        <v>-1.6952693674851346E-21</v>
      </c>
      <c r="G27" s="296"/>
      <c r="H27" s="446"/>
      <c r="I27" s="296"/>
      <c r="J27" s="446"/>
      <c r="K27" s="296"/>
      <c r="L27" s="461"/>
      <c r="M27" s="459">
        <f>((M.sd0RD+M.sd0RS+M.sd0RA+M.sd0RP)*Molweight*1000/(VOLUME.sd0R))/(FRACw.sdR*1000+FRACs.sdR*RHOsolid)</f>
        <v>9.0932451490455757E-2</v>
      </c>
      <c r="N27" s="459">
        <f>((M.sd0CD+M.sd0CS+M.sd0CA+M.sd0CP)*Molweight*1000/(VOLUME.sd0C))/(FRACw.sdC*1000+FRACs.sdC*RHOsolid)</f>
        <v>4.6481778688350123E-7</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5">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4.1644099166573719E-21</v>
      </c>
      <c r="D31" s="446">
        <f t="shared" si="7"/>
        <v>-3.6877186067358483E-39</v>
      </c>
      <c r="E31" s="295">
        <f>M.sd0CS*Molweight</f>
        <v>1.1693211939687649E-23</v>
      </c>
      <c r="F31" s="446">
        <f t="shared" si="8"/>
        <v>-1.2548093109785134E-46</v>
      </c>
      <c r="G31" s="296"/>
      <c r="H31" s="446"/>
      <c r="I31" s="296"/>
      <c r="J31" s="446"/>
      <c r="K31" s="296"/>
      <c r="L31" s="461"/>
      <c r="M31" s="124">
        <f>C.sd0RS*(Molweight*1000)/(FRACw.sdR*1000+FRACs.sdR*RHOsolid)</f>
        <v>1.8686571545303958E-28</v>
      </c>
      <c r="N31" s="124">
        <f>C.sd0CS*(Molweight*1000)/(FRACw.sdC*1000+FRACs.sdC*RHOsolid)</f>
        <v>3.4405015396171723E-32</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150</v>
      </c>
      <c r="C32" s="295">
        <f>M.sd0RA*Molweight</f>
        <v>6.0745022925775307E-7</v>
      </c>
      <c r="D32" s="446">
        <f t="shared" si="7"/>
        <v>-5.3791666957171893E-25</v>
      </c>
      <c r="E32" s="295">
        <f>M.sd0CA*Molweight</f>
        <v>3.331371961853944E-8</v>
      </c>
      <c r="F32" s="446">
        <f t="shared" si="8"/>
        <v>-3.5749258438385489E-31</v>
      </c>
      <c r="G32" s="296"/>
      <c r="H32" s="446"/>
      <c r="I32" s="296"/>
      <c r="J32" s="446"/>
      <c r="K32" s="296"/>
      <c r="L32" s="461"/>
      <c r="M32" s="124">
        <f>C.sd0RA*(Molweight*1000)/(FRACw.sdR*1000+FRACs.sdR*RHOsolid)</f>
        <v>2.7257552441781426E-14</v>
      </c>
      <c r="N32" s="124">
        <f>C.sd0CA*(Molweight*1000)/(FRACw.sdC*1000+FRACs.sdC*RHOsolid)</f>
        <v>9.8019179186297545E-17</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2026481.9676238063</v>
      </c>
      <c r="D33" s="446">
        <f t="shared" si="7"/>
        <v>-1.7945148070868537E-12</v>
      </c>
      <c r="E33" s="295">
        <f>M.sd0CP*Molweight</f>
        <v>157.97734230410973</v>
      </c>
      <c r="F33" s="446">
        <f t="shared" si="8"/>
        <v>-1.6952693671276421E-21</v>
      </c>
      <c r="G33" s="296"/>
      <c r="H33" s="446"/>
      <c r="I33" s="296"/>
      <c r="J33" s="446"/>
      <c r="K33" s="296"/>
      <c r="L33" s="461"/>
      <c r="M33" s="124">
        <f>C.sd0RP*(Molweight*1000)/(FRACw.sdR*1000+FRACs.sdR*RHOsolid)</f>
        <v>9.0932451490428501E-2</v>
      </c>
      <c r="N33" s="124">
        <f>C.sd0CP*(Molweight*1000)/(FRACw.sdC*1000+FRACs.sdC*RHOsolid)</f>
        <v>4.648177867854821E-7</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5">
      <c r="A35" s="17"/>
      <c r="B35" s="104" t="s">
        <v>204</v>
      </c>
      <c r="C35" s="295">
        <f>SUM(C36,C39:C41)</f>
        <v>11393121.584766766</v>
      </c>
      <c r="D35" s="446">
        <f t="shared" ref="D35:D41" si="9">C35/$C$103</f>
        <v>-1.0088974740188861E-11</v>
      </c>
      <c r="E35" s="295">
        <f>SUM(E36,E39:E41)</f>
        <v>379183.39519307658</v>
      </c>
      <c r="F35" s="446">
        <f t="shared" ref="F35:F41" si="10">E35/$E$103</f>
        <v>-4.0690518337549911E-18</v>
      </c>
      <c r="G35" s="296"/>
      <c r="H35" s="446"/>
      <c r="I35" s="296"/>
      <c r="J35" s="446"/>
      <c r="K35" s="296"/>
      <c r="L35" s="461"/>
      <c r="M35" s="459">
        <f>(M.w1RD+M.w1RS+M.w1RA+M.w1RP)*Molweight/(VOLUME.w1R)</f>
        <v>6.0418446625418198E-4</v>
      </c>
      <c r="N35" s="459">
        <f>(M.w1CD+M.w1CS+M.w1CA+M.w1CP)*Molweight/(VOLUME.w1C)</f>
        <v>1.3185236172562958E-6</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5">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24.478131351352044</v>
      </c>
      <c r="D39" s="446">
        <f t="shared" si="9"/>
        <v>-2.1676170753853268E-17</v>
      </c>
      <c r="E39" s="295">
        <f>M.w1CS*Molweight</f>
        <v>4.2862282586140134E-5</v>
      </c>
      <c r="F39" s="446">
        <f t="shared" si="10"/>
        <v>-4.5995909042180183E-28</v>
      </c>
      <c r="G39" s="296"/>
      <c r="H39" s="446"/>
      <c r="I39" s="296"/>
      <c r="J39" s="446"/>
      <c r="K39" s="296"/>
      <c r="L39" s="461"/>
      <c r="M39" s="124">
        <f>C.w1RS*Molweight</f>
        <v>1.2980908362454866E-9</v>
      </c>
      <c r="N39" s="124">
        <f>C.w1CS*Molweight</f>
        <v>1.4904379410011388E-16</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11276751.117505031</v>
      </c>
      <c r="D40" s="446">
        <f t="shared" si="9"/>
        <v>-9.9859249573903167E-12</v>
      </c>
      <c r="E40" s="295">
        <f>M.w1CA*Molweight</f>
        <v>379174.82714829454</v>
      </c>
      <c r="F40" s="446">
        <f t="shared" si="10"/>
        <v>-4.0689598892796418E-18</v>
      </c>
      <c r="G40" s="296"/>
      <c r="H40" s="446"/>
      <c r="I40" s="296"/>
      <c r="J40" s="446"/>
      <c r="K40" s="296"/>
      <c r="L40" s="461"/>
      <c r="M40" s="124">
        <f>C.w1RA*Molweight</f>
        <v>5.9801326654151607E-4</v>
      </c>
      <c r="N40" s="124">
        <f>C.w1CA*Molweight</f>
        <v>1.3184938238382768E-6</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116345.98913038278</v>
      </c>
      <c r="D41" s="446">
        <f t="shared" si="9"/>
        <v>-1.0302810662778942E-13</v>
      </c>
      <c r="E41" s="295">
        <f>M.w1CP*Molweight</f>
        <v>8.5680019197826276</v>
      </c>
      <c r="F41" s="446">
        <f t="shared" si="10"/>
        <v>-9.1944015390113656E-23</v>
      </c>
      <c r="G41" s="296"/>
      <c r="H41" s="446"/>
      <c r="I41" s="296"/>
      <c r="J41" s="446"/>
      <c r="K41" s="296"/>
      <c r="L41" s="461"/>
      <c r="M41" s="124">
        <f>C.w1RP*Molweight</f>
        <v>6.1699016218296779E-6</v>
      </c>
      <c r="N41" s="124">
        <f>C.w1CP*Molweight</f>
        <v>2.9793268975236359E-11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21069830.899826635</v>
      </c>
      <c r="D43" s="446">
        <f t="shared" ref="D43:D49" si="11">C43/$C$103</f>
        <v>-1.8658011340160145E-11</v>
      </c>
      <c r="E43" s="295">
        <f>SUM(E44,E47:E49)</f>
        <v>1551.6336485127363</v>
      </c>
      <c r="F43" s="446">
        <f t="shared" ref="F43:F49" si="12">E43/$E$103</f>
        <v>-1.6650723166772195E-20</v>
      </c>
      <c r="G43" s="296"/>
      <c r="H43" s="446"/>
      <c r="I43" s="296"/>
      <c r="J43" s="446"/>
      <c r="K43" s="296"/>
      <c r="L43" s="461"/>
      <c r="M43" s="459">
        <f>((M.sd1RD+M.sd1RS+M.sd1RA+M.sd1RP)*Molweight*1000/(VOLUME.sd1R))/(FRACw.sdR*1000+FRACs.sdR*RHOsolid)</f>
        <v>8.5949730833129151E-2</v>
      </c>
      <c r="N43" s="459">
        <f>((M.sd1CD+M.sd1CS+M.sd1CA+M.sd1CP)*Molweight*1000/(VOLUME.sd1C))/(FRACw.sdC*1000+FRACs.sdC*RHOsolid)</f>
        <v>4.1503472925261501E-7</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3">
      <c r="A47" s="17"/>
      <c r="B47" s="159" t="s">
        <v>147</v>
      </c>
      <c r="C47" s="295">
        <f>M.sd1RS*Molweight</f>
        <v>6.1550901182110145E-17</v>
      </c>
      <c r="D47" s="446">
        <f t="shared" si="11"/>
        <v>-5.4505298011781243E-35</v>
      </c>
      <c r="E47" s="295">
        <f>M.sd1CS*Molweight</f>
        <v>1.0777833005432705E-22</v>
      </c>
      <c r="F47" s="446">
        <f t="shared" si="12"/>
        <v>-1.156579156962561E-45</v>
      </c>
      <c r="G47" s="296"/>
      <c r="H47" s="446"/>
      <c r="I47" s="296"/>
      <c r="J47" s="446"/>
      <c r="K47" s="296"/>
      <c r="L47" s="461"/>
      <c r="M47" s="124">
        <f>C.sd1RS*(Molweight*1000)/(FRACw.sdR*1000+FRACs.sdR*RHOsolid)</f>
        <v>2.5108333399972505E-25</v>
      </c>
      <c r="N47" s="124">
        <f>C.sd1CS*(Molweight*1000)/(FRACw.sdC*1000+FRACs.sdC*RHOsolid)</f>
        <v>2.8828808962909935E-32</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1.278091097768541E-6</v>
      </c>
      <c r="D48" s="446">
        <f t="shared" si="11"/>
        <v>-1.1317906778321311E-24</v>
      </c>
      <c r="E48" s="295">
        <f>M.sd1CA*Molweight</f>
        <v>4.2975113125358016E-8</v>
      </c>
      <c r="F48" s="446">
        <f t="shared" si="12"/>
        <v>-4.6116988529923653E-31</v>
      </c>
      <c r="G48" s="296"/>
      <c r="H48" s="446"/>
      <c r="I48" s="296"/>
      <c r="J48" s="446"/>
      <c r="K48" s="296"/>
      <c r="L48" s="461"/>
      <c r="M48" s="124">
        <f>C.sd1RA*(Molweight*1000)/(FRACw.sdR*1000+FRACs.sdR*RHOsolid)</f>
        <v>5.2136909097988314E-15</v>
      </c>
      <c r="N48" s="124">
        <f>C.sd1CA*(Molweight*1000)/(FRACw.sdC*1000+FRACs.sdC*RHOsolid)</f>
        <v>1.1495087424586144E-17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35">
      <c r="A49" s="17"/>
      <c r="B49" s="159" t="s">
        <v>152</v>
      </c>
      <c r="C49" s="295">
        <f>M.sd1RP*Molweight</f>
        <v>21069830.899825357</v>
      </c>
      <c r="D49" s="446">
        <f t="shared" si="11"/>
        <v>-1.8658011340159014E-11</v>
      </c>
      <c r="E49" s="295">
        <f>M.sd1CP*Molweight</f>
        <v>1551.6336484697611</v>
      </c>
      <c r="F49" s="446">
        <f t="shared" si="12"/>
        <v>-1.6650723166311022E-20</v>
      </c>
      <c r="G49" s="296"/>
      <c r="H49" s="446"/>
      <c r="I49" s="296"/>
      <c r="J49" s="446"/>
      <c r="K49" s="296"/>
      <c r="L49" s="461"/>
      <c r="M49" s="124">
        <f>C.sd1RP*(Molweight*1000)/(FRACw.sdR*1000+FRACs.sdR*RHOsolid)</f>
        <v>8.5949730833123947E-2</v>
      </c>
      <c r="N49" s="124">
        <f>C.sd1CP*(Molweight*1000)/(FRACw.sdC*1000+FRACs.sdC*RHOsolid)</f>
        <v>4.1503472924111998E-7</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35">
      <c r="A51" s="17"/>
      <c r="B51" s="104" t="s">
        <v>220</v>
      </c>
      <c r="C51" s="295">
        <f>SUM(C52,C55:C57)</f>
        <v>-1.1292645629439698E+18</v>
      </c>
      <c r="D51" s="446">
        <f t="shared" ref="D51:D57" si="13">C51/$C$103</f>
        <v>1.0000000057723739</v>
      </c>
      <c r="E51" s="295">
        <f>SUM(E52,E55:E57)</f>
        <v>-9.3187162681866797E+22</v>
      </c>
      <c r="F51" s="446">
        <f t="shared" ref="F51:F57" si="14">E51/$E$103</f>
        <v>0.99999999999999512</v>
      </c>
      <c r="G51" s="296">
        <f>SUM(G52,G55:G57)</f>
        <v>-4.8665769266552679E+23</v>
      </c>
      <c r="H51" s="446">
        <f t="shared" ref="H51:H57" si="15">G51/$G$103</f>
        <v>3.2258064516129011E-2</v>
      </c>
      <c r="I51" s="296">
        <f>SUM(I52,I55:I57)</f>
        <v>-3.8985723580729009E+23</v>
      </c>
      <c r="J51" s="446">
        <f t="shared" ref="J51:J57" si="16">I51/$I$103</f>
        <v>3.9030194503021774E-2</v>
      </c>
      <c r="K51" s="296">
        <f>SUM(K52,K55:K57)</f>
        <v>-1.1198540249200372E+24</v>
      </c>
      <c r="L51" s="461">
        <f t="shared" ref="L51:L57" si="17">K51/$K$103</f>
        <v>3.0103468373835467E-2</v>
      </c>
      <c r="M51" s="459">
        <f>(M.w2RD+M.w2RS+M.w2RA+M.w2RP)*Molweight/(VOLUME.w2R)</f>
        <v>-112926456.29439686</v>
      </c>
      <c r="N51" s="459">
        <f>(M.w2CD+M.w2CS+M.w2CA+M.w2CP)*Molweight/(VOLUME.w2C)</f>
        <v>-125473840.32717475</v>
      </c>
      <c r="O51" s="459">
        <f>(M.w2MD+M.w2MS+M.w2MA+M.w2MP)*Molweight/(VOLUME.w2M)</f>
        <v>-125473840.32717481</v>
      </c>
      <c r="P51" s="459">
        <f>(M.w2AD+M.w2AS+M.w2AA+M.w2AP)*Molweight/(VOLUME.w2A)</f>
        <v>-152885190.51266277</v>
      </c>
      <c r="Q51" s="459">
        <f>(M.w2TD+M.w2TS+M.w2TA+M.w2TP)*Molweight/(VOLUME.w2T)</f>
        <v>-125473840.32717505</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3">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3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GO-Chitosan</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2.2537981801570538E-3</v>
      </c>
      <c r="D55" s="446">
        <f t="shared" si="13"/>
        <v>-1.9958106072957906E-21</v>
      </c>
      <c r="E55" s="295">
        <f>M.w2CS*Molweight</f>
        <v>1.4639775912013578E-3</v>
      </c>
      <c r="F55" s="446">
        <f t="shared" si="14"/>
        <v>-1.5710077966417413E-26</v>
      </c>
      <c r="G55" s="296">
        <f>M.w2MS*Molweight</f>
        <v>1.2109068556633972E-6</v>
      </c>
      <c r="H55" s="446">
        <f t="shared" si="15"/>
        <v>-8.026485980127973E-32</v>
      </c>
      <c r="I55" s="296">
        <f>M.w2AS*Molweight</f>
        <v>1.3628412054833148E-10</v>
      </c>
      <c r="J55" s="446">
        <f t="shared" si="16"/>
        <v>-1.3643957952094982E-35</v>
      </c>
      <c r="K55" s="296">
        <f>M.w2TS*Molweight</f>
        <v>1.1569363122224389E-9</v>
      </c>
      <c r="L55" s="461">
        <f t="shared" si="17"/>
        <v>-3.1100299602010085E-35</v>
      </c>
      <c r="M55" s="124">
        <f>C.w2RS*Molweight</f>
        <v>2.2537981801570511E-13</v>
      </c>
      <c r="N55" s="124">
        <f>C.w2CS*Molweight</f>
        <v>1.9712038142857347E-18</v>
      </c>
      <c r="O55" s="124">
        <f>C.w2MS*Molweight</f>
        <v>3.1220534628025439E-22</v>
      </c>
      <c r="P55" s="124">
        <f>C.w2AS*Molweight</f>
        <v>5.3444753156208422E-26</v>
      </c>
      <c r="Q55" s="124">
        <f>C.w2TS*Molweight</f>
        <v>1.296287184562957E-25</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3">
      <c r="A56" s="17"/>
      <c r="B56" s="159" t="s">
        <v>150</v>
      </c>
      <c r="C56" s="295">
        <f>M.w2RA*Molweight</f>
        <v>-1.1292645629439754E+18</v>
      </c>
      <c r="D56" s="446">
        <f t="shared" si="13"/>
        <v>1.000000005772379</v>
      </c>
      <c r="E56" s="295">
        <f>M.w2CA*Molweight</f>
        <v>-9.3187162681866797E+22</v>
      </c>
      <c r="F56" s="446">
        <f t="shared" si="14"/>
        <v>0.99999999999999512</v>
      </c>
      <c r="G56" s="296">
        <f>M.w2MA*Molweight</f>
        <v>-4.8665769266552679E+23</v>
      </c>
      <c r="H56" s="446">
        <f t="shared" si="15"/>
        <v>3.2258064516129011E-2</v>
      </c>
      <c r="I56" s="296">
        <f>M.w2AA*Molweight</f>
        <v>-3.8985723580729009E+23</v>
      </c>
      <c r="J56" s="446">
        <f t="shared" si="16"/>
        <v>3.9030194503021774E-2</v>
      </c>
      <c r="K56" s="296">
        <f>M.w2TA*Molweight</f>
        <v>-1.1198540249200372E+24</v>
      </c>
      <c r="L56" s="461">
        <f t="shared" si="17"/>
        <v>3.0103468373835467E-2</v>
      </c>
      <c r="M56" s="124">
        <f>C.w2RA*Molweight</f>
        <v>-112926456.29439743</v>
      </c>
      <c r="N56" s="124">
        <f>C.w2CA*Molweight</f>
        <v>-125473840.32717477</v>
      </c>
      <c r="O56" s="124">
        <f>C.w2MA*Molweight</f>
        <v>-125473840.32717481</v>
      </c>
      <c r="P56" s="124">
        <f>C.w2AA*Molweight</f>
        <v>-152885190.51266277</v>
      </c>
      <c r="Q56" s="124">
        <f>C.w2TA*Molweight</f>
        <v>-125473840.32717505</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35">
      <c r="A57" s="17"/>
      <c r="B57" s="159" t="s">
        <v>152</v>
      </c>
      <c r="C57" s="295">
        <f>M.w2RP*Molweight</f>
        <v>5574.4103123833456</v>
      </c>
      <c r="D57" s="446">
        <f t="shared" si="13"/>
        <v>-4.9363192005499156E-15</v>
      </c>
      <c r="E57" s="295">
        <f>M.w2CP*Molweight</f>
        <v>886551.02120484307</v>
      </c>
      <c r="F57" s="446">
        <f t="shared" si="14"/>
        <v>-9.5136604194233287E-18</v>
      </c>
      <c r="G57" s="296">
        <f>M.w2MP*Molweight</f>
        <v>4461228.7309464235</v>
      </c>
      <c r="H57" s="446">
        <f t="shared" si="15"/>
        <v>-2.9571217386054123E-19</v>
      </c>
      <c r="I57" s="296">
        <f>M.w2AP*Molweight</f>
        <v>2241810.9730752967</v>
      </c>
      <c r="J57" s="446">
        <f t="shared" si="16"/>
        <v>-2.2443682015277135E-19</v>
      </c>
      <c r="K57" s="296">
        <f>M.w2TP*Molweight</f>
        <v>15927200.627270989</v>
      </c>
      <c r="L57" s="461">
        <f t="shared" si="17"/>
        <v>-4.2814864232061012E-19</v>
      </c>
      <c r="M57" s="124">
        <f>C.w2RP*Molweight</f>
        <v>5.5744103123833392E-7</v>
      </c>
      <c r="N57" s="124">
        <f>C.w2CP*Molweight</f>
        <v>1.1937155083936907E-9</v>
      </c>
      <c r="O57" s="124">
        <f>C.w2MP*Molweight</f>
        <v>1.1502284046591591E-9</v>
      </c>
      <c r="P57" s="124">
        <f>C.w2AP*Molweight</f>
        <v>8.7914155806874373E-10</v>
      </c>
      <c r="Q57" s="124">
        <f>C.w2TP*Molweight</f>
        <v>1.7845602943720999E-9</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-1.459973077996581E+25</v>
      </c>
      <c r="H59" s="446">
        <f t="shared" ref="H59:H65" si="18">G59/$G$103</f>
        <v>0.96774193548387077</v>
      </c>
      <c r="I59" s="296">
        <f>SUM(I60,I63:I65)</f>
        <v>-9.5987487850288759E+24</v>
      </c>
      <c r="J59" s="446">
        <f t="shared" ref="J59:J65" si="19">I59/$I$103</f>
        <v>0.96096980549697786</v>
      </c>
      <c r="K59" s="296">
        <f>SUM(K60,K63:K65)</f>
        <v>-3.608031211584804E+25</v>
      </c>
      <c r="L59" s="461">
        <f t="shared" ref="L59:L65" si="20">K59/$K$103</f>
        <v>0.96989653162616418</v>
      </c>
      <c r="M59" s="459"/>
      <c r="N59" s="459"/>
      <c r="O59" s="459">
        <f>(M.w3MD+M.w3MS+M.w3MA+M.w3MP)*Molweight/(VOLUME.w3M)</f>
        <v>-125473840.32717486</v>
      </c>
      <c r="P59" s="459">
        <f>(M.w3AD+M.w3AS+M.w3AA+M.w3AP)*Molweight/(VOLUME.w3A)</f>
        <v>-125473840.32717484</v>
      </c>
      <c r="Q59" s="459">
        <f>(M.w3TD+M.w3TS+M.w3TA+M.w3TP)*Molweight/(VOLUME.w3T)</f>
        <v>-134753733.39252305</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3.6268526252113316E-4</v>
      </c>
      <c r="AE61" s="163">
        <f>k.aR.aC*(M.aRS+M.aRA+M.aRP)*Molweight</f>
        <v>5.2868931366932978E-2</v>
      </c>
      <c r="AF61" s="163">
        <f>kesc.aR*VOLUME.aR*(C.aRS+C.aRA+C.aRP)*Molweight</f>
        <v>2.0559410233548987E-6</v>
      </c>
      <c r="AG61" s="163"/>
      <c r="AH61" s="162">
        <f>(kdegS.a*C.aRS+kdegA.a*C.aRA+kdegP.a*C.aRP)*VOLUME.aR*Molweight</f>
        <v>0</v>
      </c>
      <c r="AI61" s="163">
        <f>SUM(AI62:AI64)</f>
        <v>7.0810968017765066E-3</v>
      </c>
      <c r="AJ61" s="163">
        <f>SUM(AJ62:AJ64)</f>
        <v>0</v>
      </c>
      <c r="AK61" s="163">
        <f>SUM(AK67:AK69)</f>
        <v>0.25750852099043409</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4.2250854458716174E-2</v>
      </c>
      <c r="AF62" s="163"/>
      <c r="AG62" s="163">
        <f>(kdis.w0S.w0D*M.w0RS+kdis.w0A.w0D*M.w0RA+kdis.w0P.w0D*M.w0RP)*Molweight</f>
        <v>0</v>
      </c>
      <c r="AH62" s="162">
        <f>(kdegS.w0*M.w0RS+kdegA.w0*M.w0RA+kdegP.w0*M.w0RP)*Molweight</f>
        <v>0</v>
      </c>
      <c r="AI62" s="163">
        <f>((k.aRS.w0RS*M.aRS+k.aRA.w0RA*M.aRA+k.aRP.w0RP*M.aRP)+(k.cwRS.w0RS*M.cwRS+k.cwRA.w0RA*M.cwRA+k.cwRP.w0RP*M.cwRP))*Molweight</f>
        <v>5.1499295910168287E-4</v>
      </c>
      <c r="AJ62" s="163"/>
      <c r="AK62" s="163"/>
      <c r="AL62" s="163"/>
      <c r="AM62" s="163"/>
      <c r="AN62" s="163">
        <f>(k.w0RS.sd0RS*M.w0RS+k.w0RA.sd0RA*M.w0RA+k.w0RP.sd0RP*M.w0RP)*Molweight</f>
        <v>5.867411561194801E-3</v>
      </c>
      <c r="AO62" s="162">
        <f>(k.sd0RS.w0RS*M.sd0RS+k.sd0RA.w0RA*M.sd0RA+k.sd0RP.w0RP*M.sd0RP)*Molweight</f>
        <v>0</v>
      </c>
      <c r="AP62" s="909">
        <f>SUM(AC62,AD62,AI62,AM62,AO62)-SUM(AF62,AE62,AH62,AJ62,AN62,AG62)</f>
        <v>-4.760327306080929E-2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2.0520122387464547E-11</v>
      </c>
      <c r="H63" s="446">
        <f t="shared" si="18"/>
        <v>-1.3601745987577281E-36</v>
      </c>
      <c r="I63" s="296">
        <f>M.w3AS*Molweight</f>
        <v>2.5220198177021763E-15</v>
      </c>
      <c r="J63" s="446">
        <f t="shared" si="19"/>
        <v>-2.5248966797181295E-40</v>
      </c>
      <c r="K63" s="296">
        <f>M.w3TS*Molweight</f>
        <v>1.7779120709910764E-14</v>
      </c>
      <c r="L63" s="461">
        <f t="shared" si="20"/>
        <v>-4.7793121790460019E-40</v>
      </c>
      <c r="M63" s="124"/>
      <c r="N63" s="124"/>
      <c r="O63" s="124">
        <f>C.w3MS*Molweight</f>
        <v>1.7635520810232654E-28</v>
      </c>
      <c r="P63" s="124">
        <f>C.w3AS*Molweight</f>
        <v>3.2967579316368317E-32</v>
      </c>
      <c r="Q63" s="124">
        <f>C.w3TS*Molweight</f>
        <v>6.6401944761571495E-32</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4.2250854458716167E-2</v>
      </c>
      <c r="AE63" s="163">
        <f>(WATERflow.w1R.w0R+WATERflow.w1R.w2R)*(C.w1RS+C.w1RA+C.w1RP)*Molweight</f>
        <v>0.82764478096064076</v>
      </c>
      <c r="AF63" s="163"/>
      <c r="AG63" s="163">
        <f>(kdis.w1S.w1D*M.w1RS+kdis.w1A.w1D*M.w1RA+kdis.w1P.w1D*M.w1RP)*Molweight</f>
        <v>0</v>
      </c>
      <c r="AH63" s="162">
        <f>(kdegS.w1*M.w1RS+kdegA.w1*M.w1RA+kdegP.w1*M.w1RP)*Molweight</f>
        <v>0</v>
      </c>
      <c r="AI63" s="163">
        <f>((k.aRS.w1RS*M.aRS+k.aRA.w1RA*M.aRA+k.aRP.w1RP*M.aRP)+(k.cwRS.w1RS*M.cwRS+k.cwRA.w1RA*M.cwRA+k.cwRP.w1RP*M.cwRP))*Molweight</f>
        <v>5.6649225501185108E-3</v>
      </c>
      <c r="AJ63" s="163"/>
      <c r="AK63" s="163"/>
      <c r="AL63" s="163"/>
      <c r="AM63" s="163">
        <f>(k.s1RS.w1RS*M.s1RS+k.s1RA.w1RA*M.s1RA+k.s1RP.w1RP*M.s1RP+k.s2RS.w1RS*M.s2RS+k.s2RA.w1RA*M.s2RA+k.s2RP.w1RP*M.s2RP+k.s3RS.w1RS*M.s3RS+k.s3RA.w1RA*M.s3RA+k.s3RP.w1RP*M.s3RP)*Molweight</f>
        <v>0.52363600366890239</v>
      </c>
      <c r="AN63" s="163">
        <f>(k.w1RS.sd1RS*M.w1RS+k.w1RA.sd1RA*M.w1RA+k.w1RP.sd1RP*M.w1RP)*Molweight</f>
        <v>0.61967255842954838</v>
      </c>
      <c r="AO63" s="162">
        <f>(k.sd1RS.w1RS*M.sd1RS+k.sd1RA.w1RA*M.sd1RA+k.sd1RP.w1RP*M.sd1RP)*Molweight</f>
        <v>0.55866763887480642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
      <c r="A64" s="17"/>
      <c r="B64" s="159" t="s">
        <v>150</v>
      </c>
      <c r="C64" s="295"/>
      <c r="D64" s="446"/>
      <c r="E64" s="296"/>
      <c r="F64" s="446"/>
      <c r="G64" s="296">
        <f>M.w3MA*Molweight</f>
        <v>-1.459973077996581E+25</v>
      </c>
      <c r="H64" s="446">
        <f t="shared" si="18"/>
        <v>0.96774193548387077</v>
      </c>
      <c r="I64" s="296">
        <f>M.w3AA*Molweight</f>
        <v>-9.5987487850288759E+24</v>
      </c>
      <c r="J64" s="446">
        <f t="shared" si="19"/>
        <v>0.96096980549697786</v>
      </c>
      <c r="K64" s="296">
        <f>M.w3TA*Molweight</f>
        <v>-3.608031211584804E+25</v>
      </c>
      <c r="L64" s="461">
        <f t="shared" si="20"/>
        <v>0.96989653162616418</v>
      </c>
      <c r="M64" s="124"/>
      <c r="N64" s="124"/>
      <c r="O64" s="124">
        <f>C.w3MA*Molweight</f>
        <v>-125473840.32717484</v>
      </c>
      <c r="P64" s="124">
        <f>C.w3AA*Molweight</f>
        <v>-125473840.32717484</v>
      </c>
      <c r="Q64" s="124">
        <f>C.w3TA*Molweight</f>
        <v>-134753733.39252305</v>
      </c>
      <c r="R64" s="160" t="s">
        <v>234</v>
      </c>
      <c r="S64" s="163"/>
      <c r="T64" s="163"/>
      <c r="U64" s="163"/>
      <c r="V64" s="163"/>
      <c r="W64" s="162"/>
      <c r="X64" s="17"/>
      <c r="Y64" s="156"/>
      <c r="Z64" s="17"/>
      <c r="AA64" s="312" t="s">
        <v>148</v>
      </c>
      <c r="AB64" s="162" t="s">
        <v>112</v>
      </c>
      <c r="AC64" s="161">
        <f>E.w2RS*Molweight</f>
        <v>0</v>
      </c>
      <c r="AD64" s="163">
        <f>(k.w1R.w2R*(M.w1RS+M.w1RA+M.w1RP)+k.w2C.w2R*(M.w2CS+M.w2CA+M.w2CP))*Molweight</f>
        <v>-1546928089096.5073</v>
      </c>
      <c r="AE64" s="163">
        <f>k.w2R.w2C*(M.w2RS+M.w2RA+M.w2RP)*Molweight</f>
        <v>-1546928089096.5071</v>
      </c>
      <c r="AF64" s="163"/>
      <c r="AG64" s="163">
        <f>(kdis.w2S.w2D*M.w2RS+kdis.w2A.w2D*M.w2RA+kdis.w2P.w2D*M.w2RP)*Molweight</f>
        <v>0</v>
      </c>
      <c r="AH64" s="162">
        <f>(kdegS.w2*M.w2RS+kdegA.w2*M.w2RA+kdegP.w2*M.w2RP)*Molweight</f>
        <v>0</v>
      </c>
      <c r="AI64" s="163">
        <f>((k.aRS.w2RS*M.aRS+k.aRA.w2RA*M.aRA+k.aRP.w2RP*M.aRP)+(k.cwRS.w2RS*M.cwRS+k.cwRA.w2RA*M.cwRA+k.cwRP.w2RP*M.cwRP))*Molweight</f>
        <v>9.0118129255631286E-4</v>
      </c>
      <c r="AJ64" s="163"/>
      <c r="AK64" s="163"/>
      <c r="AL64" s="163"/>
      <c r="AM64" s="163"/>
      <c r="AN64" s="163">
        <f>(k.w2RS.sd2RS*M.w2RS+k.w2RA.sd2RA*M.w2RA+k.w2RP.sd2RP*M.w2RP)*Molweight</f>
        <v>7.7777268834204778E-3</v>
      </c>
      <c r="AO64" s="162">
        <f>(k.sd2RS.w2RS*M.sd2RS+k.sd2RA.w2RA*M.sd2RA+k.sd2RP.w2RP*M.sd2RP)*Molweight</f>
        <v>7.0523591402415729E-3</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GO-Chitosan</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3">
      <c r="A65" s="17"/>
      <c r="B65" s="454" t="s">
        <v>152</v>
      </c>
      <c r="C65" s="295"/>
      <c r="D65" s="446"/>
      <c r="E65" s="296"/>
      <c r="F65" s="446"/>
      <c r="G65" s="296">
        <f>M.w3MP*Molweight</f>
        <v>208099606.27132955</v>
      </c>
      <c r="H65" s="446">
        <f t="shared" si="18"/>
        <v>-1.3793865022689105E-17</v>
      </c>
      <c r="I65" s="296">
        <f>M.w3AP*Molweight</f>
        <v>87940962.617265791</v>
      </c>
      <c r="J65" s="446">
        <f t="shared" si="19"/>
        <v>-8.8041276664452973E-18</v>
      </c>
      <c r="K65" s="296">
        <f>M.w3TP*Molweight</f>
        <v>849123981.75336587</v>
      </c>
      <c r="L65" s="461">
        <f t="shared" si="20"/>
        <v>-2.2825811544502784E-17</v>
      </c>
      <c r="M65" s="124"/>
      <c r="N65" s="124"/>
      <c r="O65" s="124">
        <f>C.w3MP*Molweight</f>
        <v>1.7884615245965453E-9</v>
      </c>
      <c r="P65" s="124">
        <f>C.w3AP*Molweight</f>
        <v>1.1495550668923632E-9</v>
      </c>
      <c r="Q65" s="124">
        <f>C.w3TP*Molweight</f>
        <v>3.1713313977716752E-9</v>
      </c>
      <c r="R65" s="160" t="s">
        <v>234</v>
      </c>
      <c r="S65" s="163"/>
      <c r="T65" s="163"/>
      <c r="U65" s="163"/>
      <c r="V65" s="163"/>
      <c r="W65" s="162"/>
      <c r="X65" s="17"/>
      <c r="Y65" s="156"/>
      <c r="Z65" s="17"/>
      <c r="AA65" s="312" t="s">
        <v>151</v>
      </c>
      <c r="AB65" s="162" t="s">
        <v>113</v>
      </c>
      <c r="AC65" s="161"/>
      <c r="AD65" s="163"/>
      <c r="AE65" s="163"/>
      <c r="AF65" s="163">
        <f>kbur.sd1R*(M.sd1RS+M.sd1RA+M.sd1RP)*Molweight</f>
        <v>6.100491955474182E-2</v>
      </c>
      <c r="AG65" s="163">
        <f>(kdis.sd1S.sd1D*M.sd1RS+kdis.sd1A.sd1D*M.sd1RA+kdis.sd1P.sd1D*M.sd1RP)*Molweight</f>
        <v>0</v>
      </c>
      <c r="AH65" s="162">
        <f>(kdegS.sd1*M.sd1RS+kdegA.sd1*M.sd1RA+kdegP.sd1*M.sd1RP)*Molweight</f>
        <v>0</v>
      </c>
      <c r="AI65" s="163"/>
      <c r="AJ65" s="163"/>
      <c r="AK65" s="163"/>
      <c r="AL65" s="163"/>
      <c r="AM65" s="163"/>
      <c r="AN65" s="163">
        <f>AN63</f>
        <v>0.61967255842954838</v>
      </c>
      <c r="AO65" s="162">
        <f>AO63</f>
        <v>0.55866763887480642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45461</v>
      </c>
      <c r="BX65" s="2"/>
      <c r="BY65" s="2"/>
      <c r="BZ65" s="2"/>
      <c r="CA65" s="2"/>
      <c r="CB65" s="2"/>
      <c r="CC65" s="2"/>
      <c r="CD65" s="2"/>
      <c r="CE65" s="2"/>
    </row>
    <row r="66" spans="1:83" ht="12.75" customHeight="1" x14ac:dyDescent="0.3">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7.2536774317890447E-4</v>
      </c>
      <c r="AG66" s="163">
        <f>(kdis.sd2S.sd2D*M.sd2RS+kdis.sd2A.sd2D*M.sd2RA+kdis.sd2P.sd2D*M.sd2RP)*Molweight</f>
        <v>0</v>
      </c>
      <c r="AH66" s="162">
        <f>(kdegS.sd2*M.sd2RS+kdegA.sd2*M.sd2RA+kdegP.sd2*M.sd2RP)*Molweight</f>
        <v>0</v>
      </c>
      <c r="AI66" s="163"/>
      <c r="AJ66" s="163"/>
      <c r="AK66" s="163"/>
      <c r="AL66" s="163"/>
      <c r="AM66" s="163"/>
      <c r="AN66" s="163">
        <f>AN64</f>
        <v>7.7777268834204778E-3</v>
      </c>
      <c r="AO66" s="162">
        <f>AO64</f>
        <v>7.0523591402415729E-3</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
      <c r="A67" s="17"/>
      <c r="B67" s="104" t="s">
        <v>236</v>
      </c>
      <c r="C67" s="295">
        <f>SUM(C68,C71:C73)</f>
        <v>793364.43734422559</v>
      </c>
      <c r="D67" s="446">
        <f t="shared" ref="D67:D73" si="21">C67/$C$103</f>
        <v>-7.0254966635589523E-13</v>
      </c>
      <c r="E67" s="295">
        <f>SUM(E68,E71:E73)</f>
        <v>-468051471.97650272</v>
      </c>
      <c r="F67" s="446">
        <f t="shared" ref="F67:F73" si="22">E67/$E$103</f>
        <v>5.0227033263625501E-15</v>
      </c>
      <c r="G67" s="296">
        <f>SUM(G68,G71:G73)</f>
        <v>-4851077346.0296583</v>
      </c>
      <c r="H67" s="446">
        <f t="shared" ref="H67:H73" si="23">G67/$G$103</f>
        <v>3.2155325675393684E-16</v>
      </c>
      <c r="I67" s="296">
        <f>SUM(I68,I71:I73)</f>
        <v>-3215946542.3146725</v>
      </c>
      <c r="J67" s="446">
        <f t="shared" ref="J67:J73" si="24">I67/$I$103</f>
        <v>3.2196149648972318E-16</v>
      </c>
      <c r="K67" s="296">
        <f>SUM(K68,K71:K73)</f>
        <v>-11807566118.426018</v>
      </c>
      <c r="L67" s="461">
        <f t="shared" ref="L67:L73" si="25">K67/$K$103</f>
        <v>3.174062737716101E-16</v>
      </c>
      <c r="M67" s="459">
        <f>((M.sd2RD+M.sd2RS+M.sd2RA+M.sd2RP)*Molweight*1000/(VOLUME.sd2R))/ (FRACw.sdR*1000+FRACs.sdR*RHOsolid)</f>
        <v>2.0342677880621152E-2</v>
      </c>
      <c r="N67" s="459">
        <f>((M.sd2CD+M.sd2CS+M.sd2CA+M.sd2CP)*Molweight*1000/(VOLUME.sd2C))/ (FRACw.sdC*1000+FRACs.sdC*RHOsolid)</f>
        <v>-3.2318865393989086E-3</v>
      </c>
      <c r="O67" s="459">
        <f>((M.sdMD+M.sdMS+M.sdMA+M.sdMP)*Molweight*1000/(VOLUME.sdM))/(FRACw.sdM*1000+FRACs.sdM*RHOsolid)</f>
        <v>-3.2070312354703142E-3</v>
      </c>
      <c r="P67" s="459">
        <f xml:space="preserve"> ((M.sdAD+M.sdAS+M.sdAA+M.sdAP)*Molweight*1000/(VOLUME.sdA))/(FRACw.sdA*1000+FRACs.sdA*RHOsolid)</f>
        <v>-3.233732068692481E-3</v>
      </c>
      <c r="Q67" s="459">
        <f>((M.sdTD+M.sdTS+M.sdTA+M.sdTP)*Molweight*1000/(VOLUME.sdT))/(FRACw.sdT*1000+FRACs.sdT*RHOsolid)</f>
        <v>-3.3922476818001915E-3</v>
      </c>
      <c r="R67" s="160" t="s">
        <v>175</v>
      </c>
      <c r="S67" s="163"/>
      <c r="T67" s="163"/>
      <c r="U67" s="163"/>
      <c r="V67" s="163"/>
      <c r="W67" s="162"/>
      <c r="X67" s="17"/>
      <c r="Y67" s="156"/>
      <c r="Z67" s="17"/>
      <c r="AA67" s="312" t="s">
        <v>155</v>
      </c>
      <c r="AB67" s="162" t="s">
        <v>115</v>
      </c>
      <c r="AC67" s="161">
        <f>E.s1RS*Molweight</f>
        <v>0</v>
      </c>
      <c r="AD67" s="163"/>
      <c r="AE67" s="163"/>
      <c r="AF67" s="163">
        <f>kleach.s1R*(M.s1RS+M.s1RA)*Molweight</f>
        <v>4.7601156096833253E-4</v>
      </c>
      <c r="AG67" s="163">
        <f>(kdis.s1S.s1D*M.s1RS+kdis.s1A.s1D*M.s1RA+kdis.s1P.s1D*M.s1RP)*Molweight</f>
        <v>0</v>
      </c>
      <c r="AH67" s="162">
        <f>(kdegS.s1*M.s1RS+kdegA.s1*M.s1RA+kdegP.s1*M.s1RP)*Molweight</f>
        <v>0</v>
      </c>
      <c r="AI67" s="163"/>
      <c r="AJ67" s="163"/>
      <c r="AK67" s="163">
        <f>((k.aRS.s1RS*M.aRS+k.aRA.s1RA*M.aRA+k.aRP.s1RP*M.aRP)+(k.cwRS.s1RS*M.cwRS+k.cwRA.s1RA*M.cwRA+k.cwRP.s1RP*M.cwRP))*Molweight</f>
        <v>7.167762955403835E-2</v>
      </c>
      <c r="AL67" s="163"/>
      <c r="AM67" s="163">
        <f>(k.s1RS.w1RS*M.s1RS+k.s1RA.w1RA*M.s1RA+k.s1RP.w1RP*M.s1RP)*Molweight</f>
        <v>6.5268149826980884E-2</v>
      </c>
      <c r="AN67" s="163"/>
      <c r="AO67" s="162"/>
      <c r="AP67" s="909">
        <f>SUM(AC67,AD67,AK67)-SUM(AE67,AF67,AH67,AL67,AM67,AP66,AG67)</f>
        <v>5.9334681660891397E-3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3">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2.7148519592636879E-3</v>
      </c>
      <c r="AG68" s="163">
        <f>(kdis.s2S.s2D*M.s2RS+kdis.s2A.s2D*M.s2RA+kdis.s2P.s2D*M.s2RP)*Molweight</f>
        <v>0</v>
      </c>
      <c r="AH68" s="162">
        <f>(kdegS.s2*M.s2RS+kdegA.s2*M.s2RA+kdegP.s2*M.s2RP)*Molweight</f>
        <v>0</v>
      </c>
      <c r="AI68" s="163"/>
      <c r="AJ68" s="163"/>
      <c r="AK68" s="163">
        <f>((k.aRS.s2RS*M.aRS+k.aRA.s2RA*M.aRA+k.aRP.s2RP*M.aRP)+(k.cwRS.s2RS*M.cwRS+k.cwRA.s2RA*M.cwRA+k.cwRP.s2RP*M.cwRP))*Molweight</f>
        <v>0.15928362123119635</v>
      </c>
      <c r="AL68" s="163"/>
      <c r="AM68" s="163">
        <f>(k.s2RS.w1RS*M.s2RS+k.s2RA.w1RA*M.s2RA+k.s2RP.w1RP*M.s2RP)*Molweight</f>
        <v>0.43419446501711367</v>
      </c>
      <c r="AN68" s="163"/>
      <c r="AO68" s="162"/>
      <c r="AP68" s="909">
        <f>SUM(AC68,AD68,AK68)-SUM(AE68,AF68,AH68,AL68,AM68,AP67,AG68)</f>
        <v>3.353875592637573E-2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1.7630057813641938E-4</v>
      </c>
      <c r="AG69" s="163">
        <f>(kdis.s3S.s3D*M.s3RS+kdis.s3A.s3D*M.s3RA+kdis.s3P.s3D*M.s3RP)*Molweight</f>
        <v>0</v>
      </c>
      <c r="AH69" s="162">
        <f>(kdegS.s3*M.s3RS+kdegA.s3*M.s3RA+kdegP.s3*M.s3RP)*Molweight</f>
        <v>0</v>
      </c>
      <c r="AI69" s="163"/>
      <c r="AJ69" s="163"/>
      <c r="AK69" s="163">
        <f>((k.aRS.s3RS*M.aRS+k.aRA.s3RA*M.aRA+k.aRP.s3RP*M.aRP)+(k.cwRS.s3RS*M.cwRS+k.cwRA.s3RA*M.cwRA+k.cwRP.s3RP*M.cwRP))*Molweight</f>
        <v>2.6547270205199393E-2</v>
      </c>
      <c r="AL69" s="163"/>
      <c r="AM69" s="163">
        <f>(k.s3RS.w1RS*M.s3RS+k.s3RA.w1RA*M.s3RA+k.s3RP.w1RP*M.s3RP)*Molweight</f>
        <v>2.4173388824807726E-2</v>
      </c>
      <c r="AN69" s="163"/>
      <c r="AO69" s="162"/>
      <c r="AP69" s="909">
        <f>SUM(AC69,AD69,AK69)-SUM(AE69,AF69,AH69,AL69,AM69,AP68,AG69)</f>
        <v>-3.1341175124120477E-2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1.7002067960093622E-22</v>
      </c>
      <c r="D71" s="446">
        <f t="shared" si="21"/>
        <v>-1.5055876732651443E-40</v>
      </c>
      <c r="E71" s="295">
        <f>M.sd2CS*Molweight</f>
        <v>5.5219333116874633E-24</v>
      </c>
      <c r="F71" s="446">
        <f t="shared" si="22"/>
        <v>-5.9256373439964651E-47</v>
      </c>
      <c r="G71" s="296">
        <f>M.sdMS*Molweight</f>
        <v>5.1599490799245556E-33</v>
      </c>
      <c r="H71" s="446">
        <f t="shared" si="23"/>
        <v>-3.4202679384037937E-58</v>
      </c>
      <c r="I71" s="296">
        <f>M.sdAS*Molweight</f>
        <v>6.4702938499915281E-37</v>
      </c>
      <c r="J71" s="446">
        <f t="shared" si="24"/>
        <v>-6.4776744988184895E-62</v>
      </c>
      <c r="K71" s="296">
        <f>M.sdTS*Molweight</f>
        <v>4.4183800731406409E-36</v>
      </c>
      <c r="L71" s="461">
        <f t="shared" si="25"/>
        <v>-1.1877312742155975E-61</v>
      </c>
      <c r="M71" s="124">
        <f>C.sd2RS*(Molweight*1000)/(FRACw.sdR*1000+FRACs.sdR*RHOsolid)</f>
        <v>4.3595046051522062E-30</v>
      </c>
      <c r="N71" s="124">
        <f>C.sd2CS*(Molweight*1000)/(FRACw.sdC*1000+FRACs.sdC*RHOsolid)</f>
        <v>3.8128844817300506E-35</v>
      </c>
      <c r="O71" s="124">
        <f>C.sdMS*(Molweight*1000)/(FRACw.sdM*1000+FRACs.sdM*RHOsolid)</f>
        <v>3.4112253201442132E-45</v>
      </c>
      <c r="P71" s="124">
        <f>C.sdAS*(Molweight*1000)/(FRACw.sdA*1000+FRACs.sdA*RHOsolid)</f>
        <v>6.5060772750040498E-49</v>
      </c>
      <c r="Q71" s="124">
        <f>C.sdTS*(Molweight*1000)/(FRACw.sdT*1000+FRACs.sdT*RHOsolid)</f>
        <v>1.2693758739181614E-48</v>
      </c>
      <c r="R71" s="160" t="s">
        <v>237</v>
      </c>
      <c r="S71" s="163"/>
      <c r="T71" s="163"/>
      <c r="U71" s="163"/>
      <c r="V71" s="163"/>
      <c r="W71" s="162"/>
      <c r="X71" s="166"/>
      <c r="Y71" s="156"/>
      <c r="Z71" s="17"/>
      <c r="AA71" s="312" t="s">
        <v>141</v>
      </c>
      <c r="AB71" s="162" t="s">
        <v>118</v>
      </c>
      <c r="AC71" s="161">
        <f>E.aCS*Molweight</f>
        <v>0</v>
      </c>
      <c r="AD71" s="163">
        <f>(k.aR.aC*(M.aRS+M.aRA+M.aRP)+k.aM.aC*(M.aMS+M.aMA+M.aMP))*Molweight</f>
        <v>5.2873840848372274E-2</v>
      </c>
      <c r="AE71" s="163">
        <f>(k.aC.aM+k.aC.aR)*(M.aCS+M.aCA+M.aCP)*Molweight</f>
        <v>2.0310282731364668E-3</v>
      </c>
      <c r="AF71" s="163">
        <f>kesc.aC*VOLUME.aC*(C.aCS+C.aCA+C.aCP)*Molweight</f>
        <v>4.4229512206950591E-7</v>
      </c>
      <c r="AG71" s="163"/>
      <c r="AH71" s="162">
        <f>(kdegS.a*C.aCS+kdegA.a*C.aCA+kdegP.a*C.aCP)*VOLUME.aC*Molweight</f>
        <v>0</v>
      </c>
      <c r="AI71" s="163">
        <f>SUM(AI72:AI74,AK77:AK79)</f>
        <v>5.0842370280113736E-2</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-115190.2552020204</v>
      </c>
      <c r="D72" s="446">
        <f t="shared" si="21"/>
        <v>1.0200466714960308E-13</v>
      </c>
      <c r="E72" s="295">
        <f>M.sd2CA*Molweight</f>
        <v>-475276272.85551214</v>
      </c>
      <c r="F72" s="446">
        <f t="shared" si="22"/>
        <v>5.1002333280396505E-15</v>
      </c>
      <c r="G72" s="296">
        <f>M.sdMA*Molweight</f>
        <v>-4964135566.9592218</v>
      </c>
      <c r="H72" s="446">
        <f t="shared" si="23"/>
        <v>3.2904731148643067E-16</v>
      </c>
      <c r="I72" s="296">
        <f>M.sdAA*Molweight</f>
        <v>-3263723897.3923073</v>
      </c>
      <c r="J72" s="446">
        <f t="shared" si="24"/>
        <v>3.2674468194903268E-16</v>
      </c>
      <c r="K72" s="296">
        <f>M.sdTA*Molweight</f>
        <v>-12268925606.982695</v>
      </c>
      <c r="L72" s="461">
        <f t="shared" si="25"/>
        <v>3.2980835517121622E-16</v>
      </c>
      <c r="M72" s="124">
        <f>C.sd2RA*(Molweight*1000)/(FRACw.sdR*1000+FRACs.sdR*RHOsolid)</f>
        <v>-2.9535962872312893E-3</v>
      </c>
      <c r="N72" s="124">
        <f>C.sd2CA*(Molweight*1000)/(FRACw.sdC*1000+FRACs.sdC*RHOsolid)</f>
        <v>-3.2817736524809499E-3</v>
      </c>
      <c r="O72" s="124">
        <f>C.sdMA*(Molweight*1000)/(FRACw.sdM*1000+FRACs.sdM*RHOsolid)</f>
        <v>-3.2817736524809538E-3</v>
      </c>
      <c r="P72" s="124">
        <f>C.sdAA*(Molweight*1000)/(FRACw.sdA*1000+FRACs.sdA*RHOsolid)</f>
        <v>-3.2817736524809525E-3</v>
      </c>
      <c r="Q72" s="124">
        <f>C.sdTA*(Molweight*1000)/(FRACw.sdT*1000+FRACs.sdT*RHOsolid)</f>
        <v>-3.5247936815291803E-3</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2.2954132240505438E-3</v>
      </c>
      <c r="AF72" s="163"/>
      <c r="AG72" s="163">
        <f>(kdis.w0S.w0D*M.w0CS+kdis.w0A.w0D*M.w0CA+kdis.w0P.w0D*M.w0CP)*Molweight</f>
        <v>0</v>
      </c>
      <c r="AH72" s="162">
        <f>(kdegS.w0*M.w0CS+kdegA.w0*M.w0CA+kdegP.w0*M.w0CP)*Molweight</f>
        <v>0</v>
      </c>
      <c r="AI72" s="163">
        <f>((k.aCS.w0CS*M.aCS+k.aCA.w0CA*M.aCA+k.aCP.w0CP*M.aCP)+(k.cwCS.w0CS*M.cwCS+k.cwCA.w0CA*M.cwCA+k.cwCP.w0CP*M.cwCP))*Molweight</f>
        <v>5.4239870647836385E-5</v>
      </c>
      <c r="AJ72" s="163"/>
      <c r="AK72" s="163"/>
      <c r="AL72" s="163"/>
      <c r="AM72" s="163"/>
      <c r="AN72" s="163">
        <f>(k.w0CS.sd0CS*M.w0CS+k.w0CA.sd0CA*M.w0CA+k.w0CP.sd0CP*M.w0CP)*Molweight</f>
        <v>4.5406296313711714E-7</v>
      </c>
      <c r="AO72" s="162">
        <f>(k.sd0CS.w0CS*M.sd0CS+k.sd0CA.w0CA*M.sd0CA+k.sd0CP.w0CP*M.sd0CP)*Molweight</f>
        <v>0</v>
      </c>
      <c r="AP72" s="909">
        <f>SUM(AC72,AD72,AI72,AM72,AO72)-SUM(AF72,AE72,AH72,AJ72,AN72,AG72)</f>
        <v>-2.2416274163658445E-3</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908554.69254624599</v>
      </c>
      <c r="D73" s="446">
        <f t="shared" si="21"/>
        <v>-8.0455433350549829E-13</v>
      </c>
      <c r="E73" s="295">
        <f>M.sd2CP*Molweight</f>
        <v>7224800.8790094117</v>
      </c>
      <c r="F73" s="446">
        <f t="shared" si="22"/>
        <v>-7.7530001677100572E-17</v>
      </c>
      <c r="G73" s="296">
        <f>M.sdMP*Molweight</f>
        <v>113058220.92956392</v>
      </c>
      <c r="H73" s="446">
        <f t="shared" si="23"/>
        <v>-7.494054732493874E-18</v>
      </c>
      <c r="I73" s="296">
        <f>M.sdAP*Molweight</f>
        <v>47777355.077635005</v>
      </c>
      <c r="J73" s="446">
        <f t="shared" si="24"/>
        <v>-4.7831854593095109E-18</v>
      </c>
      <c r="K73" s="296">
        <f>M.sdTP*Molweight</f>
        <v>461359488.55667698</v>
      </c>
      <c r="L73" s="461">
        <f t="shared" si="25"/>
        <v>-1.240208139960611E-17</v>
      </c>
      <c r="M73" s="124">
        <f>C.sd2RP*(Molweight*1000)/(FRACw.sdR*1000+FRACs.sdR*RHOsolid)</f>
        <v>2.3296274167852439E-2</v>
      </c>
      <c r="N73" s="124">
        <f>C.sd2CP*(Molweight*1000)/(FRACw.sdC*1000+FRACs.sdC*RHOsolid)</f>
        <v>4.9887113082041817E-5</v>
      </c>
      <c r="O73" s="124">
        <f>C.sdMP*(Molweight*1000)/(FRACw.sdM*1000+FRACs.sdM*RHOsolid)</f>
        <v>7.4742417010639531E-5</v>
      </c>
      <c r="P73" s="124">
        <f>C.sdAP*(Molweight*1000)/(FRACw.sdA*1000+FRACs.sdA*RHOsolid)</f>
        <v>4.8041583788471594E-5</v>
      </c>
      <c r="Q73" s="124">
        <f>C.sdTP*(Molweight*1000)/(FRACw.sdT*1000+FRACs.sdT*RHOsolid)</f>
        <v>1.3254599972898856E-4</v>
      </c>
      <c r="R73" s="160" t="s">
        <v>237</v>
      </c>
      <c r="S73" s="163"/>
      <c r="T73" s="163"/>
      <c r="U73" s="163"/>
      <c r="V73" s="163"/>
      <c r="W73" s="162"/>
      <c r="X73" s="166"/>
      <c r="Y73" s="156"/>
      <c r="Z73" s="17"/>
      <c r="AA73" s="312" t="s">
        <v>146</v>
      </c>
      <c r="AB73" s="162" t="s">
        <v>119</v>
      </c>
      <c r="AC73" s="161">
        <f>E.w1CS*Molweight</f>
        <v>0</v>
      </c>
      <c r="AD73" s="163">
        <f>k.w0C.w1C*(M.w0CS+M.w0CA+M.w0CP)*Molweight</f>
        <v>2.2954132240505438E-3</v>
      </c>
      <c r="AE73" s="163">
        <f>(k.w1C.w0C+k.w1C.w1R+k.w1C.w2C)*(M.w1CS+M.w1CA+M.w1CP)*Molweight</f>
        <v>2.7545493631709592E-2</v>
      </c>
      <c r="AF73" s="163"/>
      <c r="AG73" s="163">
        <f>(kdis.w1S.w1D*M.w1CS+kdis.w1A.w1D*M.w1CA+kdis.w1P.w1D*M.w1CP)*Molweight</f>
        <v>0</v>
      </c>
      <c r="AH73" s="162">
        <f>(kdegS.w1*M.w1CS+kdegA.w1*M.w1CA+kdegP.w1*M.w1CP)*Molweight</f>
        <v>0</v>
      </c>
      <c r="AI73" s="163">
        <f>((k.aCS.w1CS*M.aCS+k.aCA.w1CA*M.aCA+k.aCP.w1CP*M.aCP)+(k.cwCS.w1CS*M.cwCS+k.cwCA.w1CA*M.cwCA+k.cwCP.w1CP*M.cwCP))*Molweight</f>
        <v>5.9663857712620005E-4</v>
      </c>
      <c r="AJ73" s="163"/>
      <c r="AK73" s="163"/>
      <c r="AL73" s="163"/>
      <c r="AM73" s="163">
        <f>(k.s1CS.w1CS*M.s1CS+k.s1CA.w1CA*M.s1CA+k.s1CP.w1CP*M.s1CP+k.s2CS.w1CS*M.s2CS+k.s2CA.w1CA*M.s2CA+k.s2CP.w1CP*M.s2CP+k.s3CS.w1CS*M.s3CS+k.s3CA.w1CA*M.s3CA+k.s3CP.w1CP*M.s3CP)*Molweight</f>
        <v>2.4657901580024285E-2</v>
      </c>
      <c r="AN73" s="163">
        <f>(k.w1CS.sd1CS*M.w1CS+k.w1CA.sd1CA*M.w1CA+k.w1CP.sd1CP*M.w1CP)*Molweight</f>
        <v>4.5634195988121257E-5</v>
      </c>
      <c r="AO73" s="162">
        <f>(k.sd1CS.w1CS*M.sd1CS+k.sd1CA.w1CA*M.sd1CA+k.sd1CP.w1CP*M.sd1CP)*Molweight</f>
        <v>4.1174446496690216E-5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-2954773663300438</v>
      </c>
      <c r="AE74" s="163">
        <f>(k.w2C.w2M+k.w2C.w2R)*(M.w2CS+M.w2CA+M.w2CP)*Molweight</f>
        <v>-2954773663300438</v>
      </c>
      <c r="AF74" s="163"/>
      <c r="AG74" s="163">
        <f>(kdis.w2S.w2D*M.w2CS+kdis.w2A.w2D*M.w2CA+kdis.w2P.w2D*M.w2CP)*Molweight</f>
        <v>0</v>
      </c>
      <c r="AH74" s="162">
        <f>(kdegS.w2*M.w2CS+kdegA.w2*M.w2CA+kdegP.w2*M.w2CP)*Molweight</f>
        <v>0</v>
      </c>
      <c r="AI74" s="163">
        <f>((k.aCS.w2CS*M.aCS+k.aCA.w2CA*M.aCA+k.aCP.w2CP*M.aCP)+(k.cwCS.w2CS*M.cwCS+k.cwCA.w2CA*M.cwCA+k.cwCP.w2CP*M.cwCP))*Molweight</f>
        <v>2.3110770121615686E-2</v>
      </c>
      <c r="AJ74" s="163"/>
      <c r="AK74" s="163"/>
      <c r="AL74" s="163"/>
      <c r="AM74" s="163"/>
      <c r="AN74" s="163">
        <f>(k.w2CS.sd2CS*M.w2CS+k.w2CA.sd2CA*M.w2CA+k.w2CP.sd2CP*M.w2CP)*Molweight</f>
        <v>-4.588529993356234</v>
      </c>
      <c r="AO74" s="162">
        <f>(k.sd2CS.w2CS*M.sd2CS+k.sd2CA.w2CA*M.sd2CA+k.sd2CP.w2CP*M.sd2CP)*Molweight</f>
        <v>-4.1610429822843624</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
      <c r="A75" s="17"/>
      <c r="B75" s="104" t="s">
        <v>238</v>
      </c>
      <c r="C75" s="295">
        <f>SUM(C76,C79:C81)</f>
        <v>23072220.863207366</v>
      </c>
      <c r="D75" s="446">
        <f t="shared" ref="D75:D81" si="26">C75/$C$103</f>
        <v>-2.0431191904437382E-11</v>
      </c>
      <c r="E75" s="295">
        <f>SUM(E76,E79:E81)</f>
        <v>116730.98931366517</v>
      </c>
      <c r="F75" s="446">
        <f>E75/$E$103</f>
        <v>-1.2526509655860481E-18</v>
      </c>
      <c r="G75" s="296"/>
      <c r="H75" s="446"/>
      <c r="I75" s="296"/>
      <c r="J75" s="446"/>
      <c r="K75" s="296"/>
      <c r="L75" s="461"/>
      <c r="M75" s="459">
        <f>((M.s1RD+M.s1RS+M.s1RA+M.s1RP)*Molweight*1000/(VOLUME.s1R))/(FRACw.s1R*1000+(1-FRACa.s1R-FRACw.s1R)*RHOsolid)</f>
        <v>4.3983266737043338E-3</v>
      </c>
      <c r="N75" s="459">
        <f>((M.s1CD+M.s1CS+M.s1CA+M.s1CP)*Molweight*1000/(VOLUME.s1C))/(FRACw.s1C*1000+(1-FRACa.s1C-FRACw.s1C)*RHOsolid)</f>
        <v>1.4591368557229146E-6</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4.4597494914310236E-6</v>
      </c>
      <c r="AG75" s="163">
        <f>(kdis.sd1S.sd1D*M.sd1CS+kdis.sd1A.sd1D*M.sd1CA+kdis.sd1P.sd1D*M.sd1CP)*Molweight</f>
        <v>0</v>
      </c>
      <c r="AH75" s="162">
        <f>(kdegS.sd1*M.sd1CS+kdegA.sd1*M.sd1CA+kdegP.sd1*M.sd1CP)*Molweight</f>
        <v>0</v>
      </c>
      <c r="AI75" s="163"/>
      <c r="AJ75" s="163"/>
      <c r="AK75" s="163"/>
      <c r="AL75" s="163"/>
      <c r="AM75" s="163"/>
      <c r="AN75" s="163">
        <f>AN73</f>
        <v>4.5634195988121257E-5</v>
      </c>
      <c r="AO75" s="162">
        <f>AO73</f>
        <v>4.1174446496690216E-5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-0.42748701107187254</v>
      </c>
      <c r="AG76" s="163">
        <f>(kdis.sd2S.sd2D*M.sd2CS+kdis.sd2A.sd2D*M.sd2CA+kdis.sd2P.sd2D*M.sd2CP)*Molweight</f>
        <v>0</v>
      </c>
      <c r="AH76" s="162">
        <f>(kdegS.sd2*M.sd2CS+kdegA.sd2*M.sd2CA+kdegP.sd2*M.sd2CP)*Molweight</f>
        <v>0</v>
      </c>
      <c r="AI76" s="163"/>
      <c r="AJ76" s="163"/>
      <c r="AK76" s="163"/>
      <c r="AL76" s="163"/>
      <c r="AM76" s="163"/>
      <c r="AN76" s="163">
        <f>AN74</f>
        <v>-4.588529993356234</v>
      </c>
      <c r="AO76" s="162">
        <f>AO74</f>
        <v>-4.1610429822843624</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5.0433201901701551E-5</v>
      </c>
      <c r="AG77" s="163">
        <f>(kdis.s1S.s1D*M.s1CS+kdis.s1A.s1D*M.s1CA+kdis.s1P.s1D*M.s1CP)*Molweight</f>
        <v>0</v>
      </c>
      <c r="AH77" s="162">
        <f>(kdegS.s1*M.s1CS+kdegA.s1*M.s1CA+kdegP.s1*M.s1CP)*Molweight</f>
        <v>0</v>
      </c>
      <c r="AI77" s="163"/>
      <c r="AJ77" s="163"/>
      <c r="AK77" s="163">
        <f>((k.aCS.s1CS*M.aCS+k.aCA.s1CA*M.aCA+k.aCP.s1CP*M.aCP)+(k.cwCS.s1CS*M.cwCS+k.cwCA.s1CA*M.cwCA+k.cwCP.s1CP*M.cwCP))*Molweight</f>
        <v>7.5379328473149316E-3</v>
      </c>
      <c r="AL77" s="163"/>
      <c r="AM77" s="163">
        <f>(k.s1CS.w1CS*M.s1CS+k.s1CA.w1CA*M.s1CA+k.s1CP.w1CP*M.s1CP)*Molweight</f>
        <v>6.8635413416287946E-3</v>
      </c>
      <c r="AN77" s="163"/>
      <c r="AO77" s="162"/>
      <c r="AP77" s="909">
        <f>SUM(AC77,AD77,AK77)-SUM(AE77,AF77,AH77,AL77,AM77,AP76,AG77)</f>
        <v>6.2395830378443509E-4</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1.12080548764885E-4</v>
      </c>
      <c r="AG78" s="163">
        <f>(kdis.s2S.s2D*M.s2CS+kdis.s2A.s2D*M.s2CA+kdis.s2P.s2D*M.s2CP)*Molweight</f>
        <v>0</v>
      </c>
      <c r="AH78" s="162">
        <f>(kdegS.s2*M.s2CS+kdegA.s2*M.s2CA+kdegP.s2*M.s2CP)*Molweight</f>
        <v>0</v>
      </c>
      <c r="AI78" s="163"/>
      <c r="AJ78" s="163"/>
      <c r="AK78" s="163">
        <f>((k.aCS.s2CS*M.aCS+k.aCA.s2CA*M.aCA+k.aCP.s2CP*M.aCP)+(k.cwCS.s2CS*M.cwCS+k.cwCA.s2CA*M.cwCA+k.cwCP.s2CP*M.cwCP))*Molweight</f>
        <v>1.6750961882922067E-2</v>
      </c>
      <c r="AL78" s="163"/>
      <c r="AM78" s="163">
        <f>(k.s2CS.w1CS*M.s2CS+k.s2CA.w1CA*M.s2CA+k.s2CP.w1CP*M.s2CP)*Molweight</f>
        <v>1.5252307889644087E-2</v>
      </c>
      <c r="AN78" s="163"/>
      <c r="AO78" s="162"/>
      <c r="AP78" s="909">
        <f>SUM(AC78,AD78,AK78)-SUM(AE78,AF78,AH78,AL78,AM78,AP77,AG78)</f>
        <v>7.626151407286591E-4</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
      <c r="A79" s="17"/>
      <c r="B79" s="159" t="s">
        <v>147</v>
      </c>
      <c r="C79" s="295">
        <f>M.s1RS*Molweight</f>
        <v>9.7591482566751972E-2</v>
      </c>
      <c r="D79" s="446">
        <f t="shared" si="26"/>
        <v>-8.6420389280318413E-20</v>
      </c>
      <c r="E79" s="295">
        <f>M.s1CS*Molweight</f>
        <v>2.7511589079409564E-4</v>
      </c>
      <c r="F79" s="446">
        <f t="shared" si="27"/>
        <v>-2.9522938876604389E-27</v>
      </c>
      <c r="G79" s="296"/>
      <c r="H79" s="446"/>
      <c r="I79" s="296"/>
      <c r="J79" s="446"/>
      <c r="K79" s="296"/>
      <c r="L79" s="461"/>
      <c r="M79" s="124">
        <f>C.s1RS*(Molweight*1000)/(FRACw.s1R*1000+(1-FRACa.s1R-FRACw.s1R)*RHOsolid)</f>
        <v>1.8604157070297151E-11</v>
      </c>
      <c r="N79" s="124">
        <f>C.s1CS*(Molweight*1000)/(FRACw.s1C*1000+(1-FRACa.s1C-FRACw.s1C)*RHOsolid)</f>
        <v>3.4389474312945934E-15</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1.8678963667296866E-5</v>
      </c>
      <c r="AG79" s="163">
        <f>(kdis.s3S.s3D*M.s3CS+kdis.s3A.s3D*M.s3CA+kdis.s3P.s3D*M.s3CP)*Molweight</f>
        <v>0</v>
      </c>
      <c r="AH79" s="162">
        <f>(kdegS.s3*M.s3CS+kdegA.s3*M.s3CA+kdegP.s3*M.s3CP)*Molweight</f>
        <v>0</v>
      </c>
      <c r="AI79" s="163"/>
      <c r="AJ79" s="163"/>
      <c r="AK79" s="163">
        <f>((k.aCS.s3CS*M.aCS+k.aCA.s3CA*M.aCA+k.aCP.s3CP*M.aCP)+(k.cwCS.s3CS*M.cwCS+k.cwCA.s3CA*M.cwCA+k.cwCP.s3CP*M.cwCP))*Molweight</f>
        <v>2.7918269804870113E-3</v>
      </c>
      <c r="AL79" s="163"/>
      <c r="AM79" s="163">
        <f>(k.s3CS.w1CS*M.s3CS+k.s3CA.w1CA*M.s3CA+k.s3CP.w1CP*M.s3CP)*Molweight</f>
        <v>2.5420523487514044E-3</v>
      </c>
      <c r="AN79" s="163"/>
      <c r="AO79" s="162"/>
      <c r="AP79" s="909">
        <f>SUM(AC79,AD79,AK79)-SUM(AE79,AF79,AH79,AL79,AM79,AP78,AG79)</f>
        <v>-5.3151947266034906E-4</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150</v>
      </c>
      <c r="C80" s="295">
        <f>M.s1RA*Molweight</f>
        <v>500921.04847213993</v>
      </c>
      <c r="D80" s="446">
        <f t="shared" si="26"/>
        <v>-4.4358166173013751E-13</v>
      </c>
      <c r="E80" s="295">
        <f>M.s1CA*Molweight</f>
        <v>53072.360498783622</v>
      </c>
      <c r="F80" s="446">
        <f t="shared" si="27"/>
        <v>-5.6952437408109499E-19</v>
      </c>
      <c r="G80" s="296"/>
      <c r="H80" s="446"/>
      <c r="I80" s="296"/>
      <c r="J80" s="446"/>
      <c r="K80" s="296"/>
      <c r="L80" s="461"/>
      <c r="M80" s="124">
        <f>C.s1RA*(Molweight*1000)/(FRACw.s1R*1000+(1-FRACa.s1R-FRACw.s1R)*RHOsolid)</f>
        <v>9.5492082100703162E-5</v>
      </c>
      <c r="N80" s="124">
        <f>C.s1CA*(Molweight*1000)/(FRACw.s1C*1000+(1-FRACa.s1C-FRACw.s1C)*RHOsolid)</f>
        <v>6.6340427404329896E-7</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152</v>
      </c>
      <c r="C81" s="295">
        <f>M.s1RP*Molweight</f>
        <v>22571299.717143744</v>
      </c>
      <c r="D81" s="446">
        <f t="shared" si="26"/>
        <v>-1.9987610156286856E-11</v>
      </c>
      <c r="E81" s="295">
        <f>M.s1CP*Molweight</f>
        <v>63658.628539765661</v>
      </c>
      <c r="F81" s="446">
        <f t="shared" si="27"/>
        <v>-6.8312658855265937E-19</v>
      </c>
      <c r="G81" s="296"/>
      <c r="H81" s="446"/>
      <c r="I81" s="296"/>
      <c r="J81" s="446"/>
      <c r="K81" s="296"/>
      <c r="L81" s="461"/>
      <c r="M81" s="124">
        <f>C.s1RP*(Molweight*1000)/(FRACw.s1R*1000+(1-FRACa.s1R-FRACw.s1R)*RHOsolid)</f>
        <v>4.3028345729994727E-3</v>
      </c>
      <c r="N81" s="124">
        <f>C.s1CP*(Molweight*1000)/(FRACw.s1C*1000+(1-FRACa.s1C-FRACw.s1C)*RHOsolid)</f>
        <v>7.9573257824066797E-7</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1.6690476970050105E-3</v>
      </c>
      <c r="AE81" s="163">
        <f>(k.aM.aA+k.aM.aC+k.aM.aT)*(M.aMS+M.aMA+M.aMP)*Molweight</f>
        <v>4.4583469145625455E-5</v>
      </c>
      <c r="AF81" s="163">
        <f>kesc.aM*VOLUME.aM*(C.aMS+C.aMA+C.aMP)*Molweight</f>
        <v>1.4024118371176822E-8</v>
      </c>
      <c r="AG81" s="163"/>
      <c r="AH81" s="162">
        <f>(kdegS.a*C.aMS+kdegA.a*C.aMA+kdegP.a*C.aMP)*VOLUME.aM*Molweight</f>
        <v>0</v>
      </c>
      <c r="AI81" s="163">
        <f>SUM(AI82,AK85)</f>
        <v>1.6244502037410136E-3</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-1.4300650944479627E+17</v>
      </c>
      <c r="AE82" s="163">
        <f>((k.w2M.w2C+k.w2M.w2A+k.w2M.w2T)*(M.w2MS+M.w2MA+M.w2MP)+k.w2MS.w3MS*M.w2MS+k.w2MA.w3MA*M.w2MA+k.w2MP.w3MP*M.w2MP)*Molweight</f>
        <v>-1.4300650944479624E+17</v>
      </c>
      <c r="AF82" s="163"/>
      <c r="AG82" s="163">
        <f>(kdis.w2S.w2D*M.w2MS+kdis.w2A.w2D*M.w2MA+kdis.w2P.w2D*M.w2MP)*Molweight</f>
        <v>0</v>
      </c>
      <c r="AH82" s="162">
        <f>(kdegS.w2*C.w2MS+kdegA.w2*C.w2MA+kdegP.w2*C.w2MP)*VOLUME.w2M*Molweight</f>
        <v>0</v>
      </c>
      <c r="AI82" s="163">
        <f>((k.aMS.w2MS*M.aMS+k.aMA.w2MA*M.aMA+k.aMP.w2MP*M.aMP)+(k.cwMS.w2MS*M.cwMS+k.cwMA.w2MA*M.cwMA+k.cwMP.w2MP*M.cwMP))*Molweight</f>
        <v>7.1033332379378665E-4</v>
      </c>
      <c r="AJ82" s="163"/>
      <c r="AK82" s="163"/>
      <c r="AL82" s="163"/>
      <c r="AM82" s="163">
        <f>(k.sMS.w2MS*M.sMS+k.sMA.w2MA*M.sMA+k.sMP.w2MP*M.sMP)*Molweight</f>
        <v>9.0799968550997142E-4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240</v>
      </c>
      <c r="C83" s="295">
        <f>SUM(C84,C87:C89)</f>
        <v>6434004207.0393915</v>
      </c>
      <c r="D83" s="446">
        <f t="shared" ref="D83:D89" si="28">C83/$C$103</f>
        <v>-5.6975171764936569E-9</v>
      </c>
      <c r="E83" s="295">
        <f>SUM(E84,E87:E89)</f>
        <v>570063.36593031278</v>
      </c>
      <c r="F83" s="446">
        <f>E83/$E$103</f>
        <v>-6.1174023280058307E-18</v>
      </c>
      <c r="G83" s="296"/>
      <c r="H83" s="446"/>
      <c r="I83" s="296"/>
      <c r="J83" s="446"/>
      <c r="K83" s="296"/>
      <c r="L83" s="461"/>
      <c r="M83" s="459">
        <f>((M.s2RD+M.s2RS+M.s2RA+M.s2RP)*Molweight*1000/(VOLUME.s2R))/(FRACw.s2R*1000+(1-FRACa.s2R-FRACw.s2R)*RHOsolid)</f>
        <v>0.13798502125833062</v>
      </c>
      <c r="N83" s="459">
        <f>((M.s2CD+M.s2CS+M.s2CA+M.s2CP)*Molweight*1000/(VOLUME.s2C))/(FRACw.s2C*1000+(1-FRACa.s2C-FRACw.s2C)*RHOsolid)</f>
        <v>8.0165132776153728E-7</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-1.4005328270958491E+17</v>
      </c>
      <c r="AE83" s="163">
        <f>(k.w3M.w2M+k.w3M.w3A+k.w3M.w3T)*(M.w3MS+M.w3MA+M.w3MP)*Molweight</f>
        <v>-1.400532827095849E+17</v>
      </c>
      <c r="AF83" s="163"/>
      <c r="AG83" s="163">
        <f>(kdis.w2S.w2D*M.w3MS+kdis.w2A.w2D*M.w3MA+kdis.w2P.w2D*M.w3MP)*Molweight</f>
        <v>0</v>
      </c>
      <c r="AH83" s="162">
        <f>(kdegS.w3*C.w3MS+kdegA.w3*C.w3MA+kdegP.w3*C.w3MP)*VOLUME.w3M*Molweight</f>
        <v>0</v>
      </c>
      <c r="AI83" s="163"/>
      <c r="AJ83" s="163"/>
      <c r="AK83" s="163"/>
      <c r="AL83" s="163"/>
      <c r="AM83" s="163"/>
      <c r="AN83" s="163">
        <f>(k.w3MS.sdMS*M.w3MS+k.w3MA.sdMA*M.w3MA+k.w3MP.sdMP*M.w3MP)*Molweight</f>
        <v>-47.557406044148728</v>
      </c>
      <c r="AO83" s="162">
        <f>(k.sdMS.w3MS*M.sdMS+k.sdMA.w3MA*M.sdMA+k.sdMP.w3MP*M.sdMP)*Molweight</f>
        <v>-47.542930747992862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3">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-1.4475296155869021E-2</v>
      </c>
      <c r="AG84" s="163">
        <f>(kdis.sd2S.sd2D*M.sdMS+kdis.sd2A.sd2D*M.sdMA+kdis.sd2P.sd2D*M.sdMP)*Molweight</f>
        <v>0</v>
      </c>
      <c r="AH84" s="162">
        <f>(kdegS.sd2*C.sdMS+kdegA.sd2*C.sdMA+kdegP.sd2*C.sdMP)*VOLUME.sdM*Molweight</f>
        <v>0</v>
      </c>
      <c r="AI84" s="163"/>
      <c r="AJ84" s="163"/>
      <c r="AK84" s="163"/>
      <c r="AL84" s="163"/>
      <c r="AM84" s="163"/>
      <c r="AN84" s="163">
        <f>AN83</f>
        <v>-47.557406044148728</v>
      </c>
      <c r="AO84" s="162">
        <f>AO83</f>
        <v>-47.542930747992862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6.1171944372557155E-6</v>
      </c>
      <c r="AG85" s="163">
        <f>(kdis.s1S.s1D*M.sMS+kdis.s1A.s1D*M.sMA+kdis.s1P.s1D*M.sMP)*Molweight</f>
        <v>0</v>
      </c>
      <c r="AH85" s="162">
        <f>(kdegS.s1*C.sMS+kdegA.s1*C.sMA+kdegP.s1*C.sMP)*VOLUME.sM*Molweight</f>
        <v>0</v>
      </c>
      <c r="AI85" s="163"/>
      <c r="AJ85" s="163"/>
      <c r="AK85" s="163">
        <f>((k.aMS.sMS*M.aMS+k.aMA.sMA*M.aMA+k.aMP.sMP*M.aMP)+(k.cwMS.sMS*M.cwMS+k.cwMA.sMA*M.cwMA+k.cwMP.sMP*M.cwMP))*Molweight</f>
        <v>9.1411687994722693E-4</v>
      </c>
      <c r="AL85" s="163"/>
      <c r="AM85" s="163">
        <f>AM82</f>
        <v>9.0799968550997142E-4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3">
      <c r="A87" s="17"/>
      <c r="B87" s="159" t="s">
        <v>147</v>
      </c>
      <c r="C87" s="295">
        <f>M.s2RS*Molweight</f>
        <v>12.646925347955777</v>
      </c>
      <c r="D87" s="446">
        <f t="shared" si="28"/>
        <v>-1.119925820393078E-17</v>
      </c>
      <c r="E87" s="295">
        <f>M.s2CS*Molweight</f>
        <v>6.1137050082151715E-4</v>
      </c>
      <c r="F87" s="446">
        <f t="shared" si="29"/>
        <v>-6.560672985706004E-27</v>
      </c>
      <c r="G87" s="296"/>
      <c r="H87" s="446"/>
      <c r="I87" s="296"/>
      <c r="J87" s="446"/>
      <c r="K87" s="296"/>
      <c r="L87" s="461"/>
      <c r="M87" s="124">
        <f>C.s2RS*(Molweight*1000)/(FRACw.s2R*1000+(1-FRACa.s2R-FRACw.s2R)*RHOsolid)</f>
        <v>2.7122864810702383E-10</v>
      </c>
      <c r="N87" s="124">
        <f>C.s2CS*(Molweight*1000)/(FRACw.s2C*1000+(1-FRACa.s2C-FRACw.s2C)*RHOsolid)</f>
        <v>8.5973946587144512E-16</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1.4521687369950328E-5</v>
      </c>
      <c r="AE87" s="163">
        <f>k.aA.aM*(M.aAS+M.aAA+M.aAP)*Molweight</f>
        <v>5.6221319545306013E-7</v>
      </c>
      <c r="AF87" s="163">
        <f>kesc.aA*VOLUME.aA*(C.aAS+C.aAA+C.aAP)*Molweight</f>
        <v>2.9747334200836263E-10</v>
      </c>
      <c r="AG87" s="163"/>
      <c r="AH87" s="162">
        <f>(kdegS.a*C.aAS+kdegA.a*C.aAA+kdegP.a*C.aAP)*VOLUME.aA*Molweight</f>
        <v>0</v>
      </c>
      <c r="AI87" s="163">
        <f>SUM(AI88,AK91)</f>
        <v>1.3959176701155264E-5</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150</v>
      </c>
      <c r="C88" s="295">
        <f>M.s2RA*Molweight</f>
        <v>6278183.180312952</v>
      </c>
      <c r="D88" s="446">
        <f t="shared" si="28"/>
        <v>-5.5595326574189819E-12</v>
      </c>
      <c r="E88" s="295">
        <f>M.s2CA*Molweight</f>
        <v>259190.42454946396</v>
      </c>
      <c r="F88" s="446">
        <f t="shared" si="29"/>
        <v>-2.781396246973601E-18</v>
      </c>
      <c r="G88" s="296"/>
      <c r="H88" s="446"/>
      <c r="I88" s="296"/>
      <c r="J88" s="446"/>
      <c r="K88" s="296"/>
      <c r="L88" s="461"/>
      <c r="M88" s="124">
        <f>C.s2RA*(Molweight*1000)/(FRACw.s2R*1000+(1-FRACa.s2R-FRACw.s2R)*RHOsolid)</f>
        <v>1.3464325041183056E-4</v>
      </c>
      <c r="N88" s="124">
        <f>C.s2CA*(Molweight*1000)/(FRACw.s2C*1000+(1-FRACa.s2C-FRACw.s2C)*RHOsolid)</f>
        <v>3.6448640695244116E-7</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-1.0497344267776016E+17</v>
      </c>
      <c r="AE88" s="163">
        <f>(k.w2A.w2M*(M.w2AS+M.w2AA+M.w2AP)+k.w2AS.w3AS*M.w2AS+k.w2AA.w3AA*M.w2AA+k.w2AP.w3AP*M.w2AP)*Molweight</f>
        <v>-1.0497344267776016E+17</v>
      </c>
      <c r="AF88" s="163"/>
      <c r="AG88" s="163">
        <f>(kdis.w2S.w2D*M.w2AS+kdis.w2A.w2D*M.w2AA+kdis.w2P.w2D*M.w2AP)*Molweight</f>
        <v>0</v>
      </c>
      <c r="AH88" s="162">
        <f>(kdegS.w2*C.w2AS+kdegA.w2*C.w2AA+kdegP.w2*C.w2AP)*VOLUME.w2A*Molweight</f>
        <v>0</v>
      </c>
      <c r="AI88" s="163">
        <f>((k.aAS.w2AS*M.aAS+k.aAA.w2AA*M.aAA+k.aAP.w2AP*M.aAP)+(k.cwAS.w2AS*M.cwAS+k.cwAA.w2AA*M.cwAA+k.cwAP.w2AP*M.cwAP))*Molweight</f>
        <v>6.3957551052541377E-6</v>
      </c>
      <c r="AJ88" s="163"/>
      <c r="AK88" s="163"/>
      <c r="AL88" s="163"/>
      <c r="AM88" s="163">
        <f>(k.sAS.w2AS*M.sAS+k.sAA.w2AA*M.sAA+k.sAP.w2AP*M.sAP)*Molweight</f>
        <v>7.5128197335478243E-6</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
      <c r="A89" s="17"/>
      <c r="B89" s="159" t="s">
        <v>152</v>
      </c>
      <c r="C89" s="295">
        <f>M.s2RP*Molweight</f>
        <v>6427726011.2121534</v>
      </c>
      <c r="D89" s="446">
        <f t="shared" si="28"/>
        <v>-5.6919576326369797E-9</v>
      </c>
      <c r="E89" s="295">
        <f>M.s2CP*Molweight</f>
        <v>310872.94076947827</v>
      </c>
      <c r="F89" s="446">
        <f t="shared" si="29"/>
        <v>-3.3360060744715563E-18</v>
      </c>
      <c r="G89" s="296"/>
      <c r="H89" s="446"/>
      <c r="I89" s="296"/>
      <c r="J89" s="446"/>
      <c r="K89" s="296"/>
      <c r="L89" s="461"/>
      <c r="M89" s="124">
        <f>C.s2RP*(Molweight*1000)/(FRACw.s2R*1000+(1-FRACa.s2R-FRACw.s2R)*RHOsolid)</f>
        <v>0.13785037773669012</v>
      </c>
      <c r="N89" s="124">
        <f>C.s2CP*(Molweight*1000)/(FRACw.s2C*1000+(1-FRACa.s2C-FRACw.s2C)*RHOsolid)</f>
        <v>4.3716491994935673E-7</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-1.0497344267776016E+17</v>
      </c>
      <c r="AE89" s="163">
        <f>(k.w3A.w2A+k.w3A.w3M)*(M.w3AS+M.w3AA+M.w3AP)*Molweight</f>
        <v>-1.0497344267776016E+17</v>
      </c>
      <c r="AF89" s="163"/>
      <c r="AG89" s="163">
        <f>(kdis.w2S.w2D*M.w3AS+kdis.w2A.w2D*M.w3AA+kdis.w2P.w2D*M.w3AP)*Molweight</f>
        <v>0</v>
      </c>
      <c r="AH89" s="162">
        <f>(kdegS.w3*C.w3AS+kdegA.w3*C.w3AA+kdegP.w3*C.w3AP)*VOLUME.w3A*Molweight</f>
        <v>0</v>
      </c>
      <c r="AI89" s="163"/>
      <c r="AJ89" s="163"/>
      <c r="AK89" s="163"/>
      <c r="AL89" s="163"/>
      <c r="AM89" s="163"/>
      <c r="AN89" s="163">
        <f>(k.w3AS.sdAS*M.w3AS+k.w3AA.sdAA*M.w3AA+k.w3AP.sdAP*M.w3AP)*Molweight</f>
        <v>-31.527445270339751</v>
      </c>
      <c r="AO89" s="162">
        <f>(k.sdAS.w3AS*M.sdAS+k.sdAA.w3AA*M.sdAA+k.sdAP.w3AP*M.sdAP)*Molweight</f>
        <v>-31.52064680394723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-6.7984663925136097E-3</v>
      </c>
      <c r="AG90" s="163">
        <f>(kdis.sd2S.sd2D*M.sdAS+kdis.sd2A.sd2D*M.sdAA+kdis.sd2P.sd2D*M.sdAP)*Molweight</f>
        <v>0</v>
      </c>
      <c r="AH90" s="162">
        <f>(kdegS.sd2*C.sdAS+kdegA.sd2*C.sdAA+kdegP.sd2*C.sdAP)*VOLUME.sdA*Molweight</f>
        <v>0</v>
      </c>
      <c r="AI90" s="163"/>
      <c r="AJ90" s="163"/>
      <c r="AK90" s="163"/>
      <c r="AL90" s="163"/>
      <c r="AM90" s="163"/>
      <c r="AN90" s="163">
        <f>AN89</f>
        <v>-31.527445270339751</v>
      </c>
      <c r="AO90" s="162">
        <f>AO89</f>
        <v>-31.52064680394723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8545266.9863730967</v>
      </c>
      <c r="D91" s="446">
        <f t="shared" ref="D91:D97" si="30">C91/$C$103</f>
        <v>-7.5671081127545844E-12</v>
      </c>
      <c r="E91" s="295">
        <f>SUM(E92,E95:E97)</f>
        <v>43233.699745801903</v>
      </c>
      <c r="F91" s="446">
        <f>E91/$E$103</f>
        <v>-4.6394480206890667E-19</v>
      </c>
      <c r="G91" s="296">
        <f>SUM(G92,G95:G97)</f>
        <v>6646.5476634545357</v>
      </c>
      <c r="H91" s="446">
        <f t="shared" ref="H91:H97" si="31">G91/$G$103</f>
        <v>-4.4056585679947413E-22</v>
      </c>
      <c r="I91" s="296">
        <f>SUM(I92,I95:I97)</f>
        <v>149.12998816302053</v>
      </c>
      <c r="J91" s="446">
        <f t="shared" ref="J91:J97" si="32">I91/$I$103</f>
        <v>-1.4930010038631648E-23</v>
      </c>
      <c r="K91" s="296">
        <f>SUM(K92,K95:K97)</f>
        <v>31.584517511753301</v>
      </c>
      <c r="L91" s="461">
        <f t="shared" ref="L91:L97" si="33">K91/$K$103</f>
        <v>-8.4904237772044428E-25</v>
      </c>
      <c r="M91" s="459">
        <f>((M.s3RD+M.s3RS+M.s3RA+M.s3RP)*Molweight*1000/(VOLUME.s3R))/(FRACw.s3R*1000+(1-FRACa.s3R-FRACw.s3R)*RHOsolid)</f>
        <v>4.3983266737043338E-3</v>
      </c>
      <c r="N91" s="459">
        <f>((M.s3CD+M.s3CS+M.s3CA+M.s3CP)*Molweight*1000/(VOLUME.s3C))/(FRACw.s3C*1000+(1-FRACa.s3C-FRACw.s3C)*RHOsolid)</f>
        <v>1.4591368557229146E-6</v>
      </c>
      <c r="O91" s="459">
        <f>((M.sMD+M.sMS+M.sMA+M.sMP)*Molweight*1000/(VOLUME.sM))/(FRACw.sM*1000+(1-FRACa.sM-FRACw.sM)*RHOsolid)</f>
        <v>2.0160755165406213E-9</v>
      </c>
      <c r="P91" s="459">
        <f>((M.sAD+M.sAS+M.sAA+M.sAP)*Molweight*1000/(VOLUME.sA))/(FRACw.sA*1000+(1-FRACa.sA-FRACw.sA)*RHOsolid)</f>
        <v>1.0320414405745363E-10</v>
      </c>
      <c r="Q91" s="459">
        <f>((M.sTD+M.sTS+M.sTA+M.sTP)*Molweight*1000/(VOLUME.sT))/(FRACw.sT*1000+(1-FRACa.sT-FRACw.sT)*RHOsolid)</f>
        <v>9.7145767048837488E-12</v>
      </c>
      <c r="R91" s="160" t="s">
        <v>175</v>
      </c>
      <c r="S91" s="163"/>
      <c r="T91" s="163"/>
      <c r="U91" s="163"/>
      <c r="V91" s="163"/>
      <c r="W91" s="162"/>
      <c r="X91" s="166"/>
      <c r="Y91" s="156"/>
      <c r="Z91" s="17"/>
      <c r="AA91" s="312" t="s">
        <v>206</v>
      </c>
      <c r="AB91" s="162" t="s">
        <v>197</v>
      </c>
      <c r="AC91" s="161">
        <f>E.sAS*Molweight</f>
        <v>0</v>
      </c>
      <c r="AD91" s="163"/>
      <c r="AE91" s="163"/>
      <c r="AF91" s="163">
        <f>kleach.sA*(M.sAS+M.sAA)*Molweight</f>
        <v>5.060186235329931E-8</v>
      </c>
      <c r="AG91" s="163">
        <f>(kdis.s1S.s1D*M.sAS+kdis.s1A.s1D*M.sAA+kdis.s1P.s1D*M.sAP)*Molweight</f>
        <v>0</v>
      </c>
      <c r="AH91" s="162">
        <f>(kdegS.s1*C.sAS+kdegA.s1*C.sAA+kdegP.s1*C.sAP)*VOLUME.sA*Molweight</f>
        <v>0</v>
      </c>
      <c r="AI91" s="163"/>
      <c r="AJ91" s="163"/>
      <c r="AK91" s="163">
        <f>((k.aAS.sAS*M.aAS+k.aAA.sAA*M.aAA+k.aAP.sAP*M.aAP)+(k.cwAS.sAS*M.cwAS+k.cwAA.sAA*M.cwAA+k.cwAP.sAP*M.cwAP))*Molweight</f>
        <v>7.5634215959011253E-6</v>
      </c>
      <c r="AL91" s="163"/>
      <c r="AM91" s="163">
        <f>AM88</f>
        <v>7.5128197335478243E-6</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2.5152300336385237E-5</v>
      </c>
      <c r="AE93" s="163">
        <f>k.aT.aM*(M.aTS+M.aTA+M.aTP)*Molweight</f>
        <v>1.4247319422345676E-7</v>
      </c>
      <c r="AF93" s="163">
        <f>kesc.aT*VOLUME.aT*(C.aTS+C.aTA+C.aTP)*Molweight</f>
        <v>1.3056921908839752E-10</v>
      </c>
      <c r="AG93" s="163"/>
      <c r="AH93" s="162">
        <f>(kdegS.a*C.aTS+kdegA.a*C.aTA+kdegP.a*C.aTP)*VOLUME.aT*Molweight</f>
        <v>0</v>
      </c>
      <c r="AI93" s="163">
        <f>SUM(AI94,AK97)</f>
        <v>2.5009696572942692E-5</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-2.7330166912677997E+17</v>
      </c>
      <c r="AE94" s="163">
        <f>(k.w2T.w2M*(M.w2TS+M.w2TA+M.w2TP)+k.w2TS.w3TS*M.w2TS+k.w2TA.w3TA*M.w2TA+k.w2TP.w3TP*M.w2TP)*Molweight</f>
        <v>-2.7330166912677997E+17</v>
      </c>
      <c r="AF94" s="163"/>
      <c r="AG94" s="163">
        <f>(kdis.w2S.w2D*M.w2TS+kdis.w2A.w2D*M.w2TA+kdis.w2P.w2D*M.w2TP)*Molweight</f>
        <v>0</v>
      </c>
      <c r="AH94" s="162">
        <f>(kdegS.w2*C.w2TS+kdegA.w2*C.w2TA+kdegP.w2*C.w2TP)*VOLUME.w2T*Molweight</f>
        <v>0</v>
      </c>
      <c r="AI94" s="163">
        <f>((k.aTS.w2TS*M.aTS+k.aTA.w2TA*M.aTA+k.aTP.w2TP*M.aTP)+(k.cwTS.w2TS*M.cwTS+k.cwTA.w2TA*M.cwTA+k.cwTP.w2TP*M.cwTP))*Molweight</f>
        <v>1.670332348693342E-5</v>
      </c>
      <c r="AJ94" s="163"/>
      <c r="AK94" s="163"/>
      <c r="AL94" s="163"/>
      <c r="AM94" s="163">
        <f>(k.sTS.w2TS*M.sTS+k.sTA.w2TA*M.sTA+k.sTP.w2TP*M.sTP)*Molweight</f>
        <v>8.2507837940577661E-6</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
      <c r="A95" s="17"/>
      <c r="B95" s="159" t="s">
        <v>147</v>
      </c>
      <c r="C95" s="295">
        <f>M.s3RS*Molweight</f>
        <v>3.6144993543241473E-2</v>
      </c>
      <c r="D95" s="446">
        <f t="shared" si="30"/>
        <v>-3.2007551585303116E-20</v>
      </c>
      <c r="E95" s="295">
        <f>M.s3CS*Molweight</f>
        <v>1.0189477436818356E-4</v>
      </c>
      <c r="F95" s="446">
        <f t="shared" si="34"/>
        <v>-1.0934421806149772E-27</v>
      </c>
      <c r="G95" s="296">
        <f>M.sMS*Molweight</f>
        <v>8.9562725952166498E-7</v>
      </c>
      <c r="H95" s="446">
        <f t="shared" si="31"/>
        <v>-5.9366578100945015E-32</v>
      </c>
      <c r="I95" s="296">
        <f>M.sAS*Molweight</f>
        <v>9.5279211905069125E-11</v>
      </c>
      <c r="J95" s="446">
        <f t="shared" si="32"/>
        <v>-9.5387896675789672E-36</v>
      </c>
      <c r="K95" s="296">
        <f>M.sTS*Molweight</f>
        <v>3.2247012380865691E-10</v>
      </c>
      <c r="L95" s="461">
        <f t="shared" si="33"/>
        <v>-8.6685130004099149E-36</v>
      </c>
      <c r="M95" s="124">
        <f>C.s3RS*(Molweight*1000)/(FRACw.s3R*1000+(1-FRACa.s3R-FRACw.s3R)*RHOsolid)</f>
        <v>1.8604157070297151E-11</v>
      </c>
      <c r="N95" s="124">
        <f>C.s3CS*(Molweight*1000)/(FRACw.s3C*1000+(1-FRACa.s3C-FRACw.s3C)*RHOsolid)</f>
        <v>3.4389474312945934E-15</v>
      </c>
      <c r="O95" s="124">
        <f>C.sMS*(Molweight*1000)/(FRACw.sM*1000+(1-FRACa.sM-FRACw.sM)*RHOsolid)</f>
        <v>2.7166768092196552E-19</v>
      </c>
      <c r="P95" s="124">
        <f>C.sAS*(Molweight*1000)/(FRACw.sA*1000+(1-FRACa.sA-FRACw.sA)*RHOsolid)</f>
        <v>6.5937170868559939E-23</v>
      </c>
      <c r="Q95" s="124">
        <f>C.sTS*(Molweight*1000)/(FRACw.sT*1000+(1-FRACa.sT-FRACw.sT)*RHOsolid)</f>
        <v>9.9183429083785239E-23</v>
      </c>
      <c r="R95" s="160" t="s">
        <v>237</v>
      </c>
      <c r="S95" s="163"/>
      <c r="T95" s="163"/>
      <c r="U95" s="163"/>
      <c r="V95" s="163"/>
      <c r="W95" s="162"/>
      <c r="X95" s="166"/>
      <c r="Y95" s="156"/>
      <c r="Z95" s="17"/>
      <c r="AA95" s="312" t="s">
        <v>189</v>
      </c>
      <c r="AB95" s="162" t="s">
        <v>200</v>
      </c>
      <c r="AC95" s="161"/>
      <c r="AD95" s="163">
        <f>(k.w2TS.w3TS*M.w2TS+k.w2TA.w3TA*M.w2TA+k.w2TP.w3TP*M.w2TP+k.w3M.w3T*(M.w3MS+M.w3MA+M.w3MP))*Molweight</f>
        <v>-2.7330166912677997E+17</v>
      </c>
      <c r="AE95" s="163">
        <f>(k.w3T.w2T+k.w3T.w3M)*(M.w3TS+M.w3TA+M.w3TP)*Molweight</f>
        <v>-2.7330166912677997E+17</v>
      </c>
      <c r="AF95" s="163"/>
      <c r="AG95" s="163">
        <f>(kdis.w2S.w2D*M.w3TS+kdis.w2A.w2D*M.w3TA+kdis.w2P.w2D*M.w3TP)*Molweight</f>
        <v>0</v>
      </c>
      <c r="AH95" s="162">
        <f>(kdegS.w3*C.w3TS+kdegA.w3*C.w3TA+kdegP.w3*C.w3TP)*VOLUME.w3T*Molweight</f>
        <v>0</v>
      </c>
      <c r="AI95" s="163"/>
      <c r="AJ95" s="163"/>
      <c r="AK95" s="163"/>
      <c r="AL95" s="163"/>
      <c r="AM95" s="163"/>
      <c r="AN95" s="163">
        <f>(k.w3TS.sdTS*M.w3TS+k.w3TA.sdTA*M.w3TA+k.w3TP.sdTP*M.w3TP)*Molweight</f>
        <v>-115.74517186162822</v>
      </c>
      <c r="AO95" s="162">
        <f>(k.sdTS.w3TS*M.sdTS+k.sdTA.w3TA*M.sdTA+k.sdTP.w3TP*M.sdTP)*Molweight</f>
        <v>-115.73019524301021</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
      <c r="A96" s="17"/>
      <c r="B96" s="159" t="s">
        <v>150</v>
      </c>
      <c r="C96" s="295">
        <f>M.s3RA*Molweight</f>
        <v>185526.31424894065</v>
      </c>
      <c r="D96" s="446">
        <f t="shared" si="30"/>
        <v>-1.6428950434449529E-13</v>
      </c>
      <c r="E96" s="295">
        <f>M.s3CA*Molweight</f>
        <v>19656.429814364299</v>
      </c>
      <c r="F96" s="446">
        <f t="shared" si="34"/>
        <v>-2.1093495336336847E-19</v>
      </c>
      <c r="G96" s="296">
        <f>M.sMA*Molweight</f>
        <v>6437.3059375792636</v>
      </c>
      <c r="H96" s="446">
        <f t="shared" si="31"/>
        <v>-4.2669628647421943E-22</v>
      </c>
      <c r="I96" s="296">
        <f>M.sAA*Molweight</f>
        <v>149.09957213620632</v>
      </c>
      <c r="J96" s="446">
        <f t="shared" si="32"/>
        <v>-1.492696496640127E-23</v>
      </c>
      <c r="K96" s="296">
        <f>M.sTA*Molweight</f>
        <v>31.49906734876334</v>
      </c>
      <c r="L96" s="461">
        <f t="shared" si="33"/>
        <v>-8.4674534058715269E-25</v>
      </c>
      <c r="M96" s="124">
        <f>C.s3RA*(Molweight*1000)/(FRACw.s3R*1000+(1-FRACa.s3R-FRACw.s3R)*RHOsolid)</f>
        <v>9.5492082100703162E-5</v>
      </c>
      <c r="N96" s="124">
        <f>C.s3CA*(Molweight*1000)/(FRACw.s3C*1000+(1-FRACa.s3C-FRACw.s3C)*RHOsolid)</f>
        <v>6.6340427404329907E-7</v>
      </c>
      <c r="O96" s="124">
        <f>C.sMA*(Molweight*1000)/(FRACw.sM*1000+(1-FRACa.sM-FRACw.sM)*RHOsolid)</f>
        <v>1.952606909688476E-9</v>
      </c>
      <c r="P96" s="124">
        <f>C.sAA*(Molweight*1000)/(FRACw.sA*1000+(1-FRACa.sA-FRACw.sA)*RHOsolid)</f>
        <v>1.0318309490394899E-10</v>
      </c>
      <c r="Q96" s="124">
        <f>C.sTA*(Molweight*1000)/(FRACw.sT*1000+(1-FRACa.sT-FRACw.sT)*RHOsolid)</f>
        <v>9.6882944555981018E-12</v>
      </c>
      <c r="R96" s="160" t="s">
        <v>237</v>
      </c>
      <c r="S96" s="163"/>
      <c r="T96" s="163"/>
      <c r="U96" s="163"/>
      <c r="V96" s="163"/>
      <c r="W96" s="162"/>
      <c r="X96" s="166"/>
      <c r="Y96" s="156"/>
      <c r="Z96" s="17"/>
      <c r="AA96" s="312" t="s">
        <v>205</v>
      </c>
      <c r="AB96" s="162" t="s">
        <v>201</v>
      </c>
      <c r="AC96" s="161"/>
      <c r="AD96" s="163"/>
      <c r="AE96" s="163"/>
      <c r="AF96" s="163">
        <f>kbur.sdT*(M.sdTS+M.sdTA+M.sdTP)*Molweight</f>
        <v>-1.4976618617993499E-2</v>
      </c>
      <c r="AG96" s="163">
        <f>(kdis.sd2S.sd2D*M.sdTS+kdis.sd2A.sd2D*M.sdTA+kdis.sd2P.sd2D*M.sdTP)*Molweight</f>
        <v>0</v>
      </c>
      <c r="AH96" s="162">
        <f>(kdegS.sd2*C.sdTS+kdegA.sd2*C.sdTA+kdegP.sd2*C.sdTP)*VOLUME.sdT*Molweight</f>
        <v>0</v>
      </c>
      <c r="AI96" s="163"/>
      <c r="AJ96" s="163"/>
      <c r="AK96" s="163"/>
      <c r="AL96" s="163"/>
      <c r="AM96" s="163"/>
      <c r="AN96" s="163">
        <f>AN95</f>
        <v>-115.74517186162822</v>
      </c>
      <c r="AO96" s="162">
        <f>AO95</f>
        <v>-115.73019524301021</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
      <c r="A97" s="17"/>
      <c r="B97" s="159" t="s">
        <v>152</v>
      </c>
      <c r="C97" s="295">
        <f>M.s3RP*Molweight</f>
        <v>8359740.6359791635</v>
      </c>
      <c r="D97" s="446">
        <f t="shared" si="30"/>
        <v>-7.4028185764025374E-12</v>
      </c>
      <c r="E97" s="295">
        <f>M.s3CP*Molweight</f>
        <v>23577.269829542831</v>
      </c>
      <c r="F97" s="446">
        <f t="shared" si="34"/>
        <v>-2.53009847612096E-19</v>
      </c>
      <c r="G97" s="296">
        <f>M.sMP*Molweight</f>
        <v>209.24172497964469</v>
      </c>
      <c r="H97" s="446">
        <f t="shared" si="31"/>
        <v>-1.3869570265888104E-23</v>
      </c>
      <c r="I97" s="296">
        <f>M.sAP*Molweight</f>
        <v>3.0416026718947473E-2</v>
      </c>
      <c r="J97" s="446">
        <f t="shared" si="32"/>
        <v>-3.0450722208384064E-27</v>
      </c>
      <c r="K97" s="296">
        <f>M.sTP*Molweight</f>
        <v>8.5450162667492516E-2</v>
      </c>
      <c r="L97" s="461">
        <f t="shared" si="33"/>
        <v>-2.2970371246231261E-27</v>
      </c>
      <c r="M97" s="124">
        <f>C.s3RP*(Molweight*1000)/(FRACw.s3R*1000+(1-FRACa.s3R-FRACw.s3R)*RHOsolid)</f>
        <v>4.3028345729994736E-3</v>
      </c>
      <c r="N97" s="124">
        <f>C.s3CP*(Molweight*1000)/(FRACw.s3C*1000+(1-FRACa.s3C-FRACw.s3C)*RHOsolid)</f>
        <v>7.9573257824066797E-7</v>
      </c>
      <c r="O97" s="124">
        <f>C.sMP*(Molweight*1000)/(FRACw.sM*1000+(1-FRACa.sM-FRACw.sM)*RHOsolid)</f>
        <v>6.3468606580477483E-11</v>
      </c>
      <c r="P97" s="124">
        <f>C.sAP*(Molweight*1000)/(FRACw.sA*1000+(1-FRACa.sA-FRACw.sA)*RHOsolid)</f>
        <v>2.1049153438717969E-14</v>
      </c>
      <c r="Q97" s="124">
        <f>C.sTP*(Molweight*1000)/(FRACw.sT*1000+(1-FRACa.sT-FRACw.sT)*RHOsolid)</f>
        <v>2.628224918646443E-14</v>
      </c>
      <c r="R97" s="160" t="s">
        <v>237</v>
      </c>
      <c r="S97" s="163"/>
      <c r="T97" s="163"/>
      <c r="U97" s="163"/>
      <c r="V97" s="163"/>
      <c r="W97" s="162"/>
      <c r="X97" s="166"/>
      <c r="Y97" s="156"/>
      <c r="Z97" s="17"/>
      <c r="AA97" s="312" t="s">
        <v>206</v>
      </c>
      <c r="AB97" s="162" t="s">
        <v>202</v>
      </c>
      <c r="AC97" s="161">
        <f>E.sTS*Molweight</f>
        <v>0</v>
      </c>
      <c r="AD97" s="163"/>
      <c r="AE97" s="163"/>
      <c r="AF97" s="163">
        <f>kleach.sT*(M.sTS+M.sTA)*Molweight</f>
        <v>5.5589291951508518E-8</v>
      </c>
      <c r="AG97" s="163">
        <f>(kdis.s1S.s1D*M.sTS+kdis.s1A.s1D*M.sTA+kdis.s1P.s1D*M.sTP)*Molweight</f>
        <v>0</v>
      </c>
      <c r="AH97" s="162">
        <f>(kdegS.s1*C.sTS+kdegA.s1*C.sTA+kdegP.s1*C.sTP)*VOLUME.sT*Molweight</f>
        <v>0</v>
      </c>
      <c r="AI97" s="163"/>
      <c r="AJ97" s="163"/>
      <c r="AK97" s="163">
        <f>((k.aTS.sTS*M.aTS+k.aTA.sTA*M.aTA+k.aTP.sTP*M.aTP)+(k.cwTS.sTS*M.cwTS+k.cwTA.sTA*M.cwTA+k.cwTP.sTP*M.cwTP))*Molweight</f>
        <v>8.3063730860092722E-6</v>
      </c>
      <c r="AL97" s="163"/>
      <c r="AM97" s="163">
        <f>AM94</f>
        <v>8.2507837940577661E-6</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-0.39844555230423628</v>
      </c>
      <c r="AG98" s="914"/>
      <c r="AH98" s="915">
        <f>SUM(AH60:AH97)</f>
        <v>0</v>
      </c>
      <c r="AI98" s="929"/>
      <c r="AJ98" s="930"/>
      <c r="AK98" s="930"/>
      <c r="AL98" s="929"/>
      <c r="AM98" s="929"/>
      <c r="AN98" s="929"/>
      <c r="AO98" s="486"/>
      <c r="AP98" s="931">
        <f>SUM(AP61:AP97)</f>
        <v>-4.0858797536977999E-2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326.76569115022767</v>
      </c>
      <c r="D100" s="446">
        <f>C100/$C$103</f>
        <v>-2.8936150461019509E-16</v>
      </c>
      <c r="E100" s="453">
        <f>SUM(E15,E23,E31,E39,E47,E55,E71,E79,E87,E95)</f>
        <v>1.6814110987119661</v>
      </c>
      <c r="F100" s="446">
        <f>E100/$E$103</f>
        <v>-1.8043376902161463E-23</v>
      </c>
      <c r="G100" s="453">
        <f>SUM(G15,G55,G71,G63,G95)</f>
        <v>1.43104795594817E-3</v>
      </c>
      <c r="H100" s="446">
        <f>G100/$G$103</f>
        <v>-9.4856894249029581E-29</v>
      </c>
      <c r="I100" s="453">
        <f>SUM(I15,I55,I71,I63,I95)</f>
        <v>3.6341166956096325E-7</v>
      </c>
      <c r="J100" s="446">
        <f>I100/$I$103</f>
        <v>-3.6382621238928512E-32</v>
      </c>
      <c r="K100" s="453">
        <f>SUM(K15,K55,K71,K63,K95)</f>
        <v>5.4234971433573824E-7</v>
      </c>
      <c r="L100" s="461">
        <f>K100/$K$103</f>
        <v>-1.4579228283106266E-32</v>
      </c>
      <c r="M100" s="484">
        <f xml:space="preserve"> (M.aRS+M.cwRS+M.w0RS+M.w1RS+M.w2RS+M.sd0RS+M.sd1RS+M.sd2RS+M.s1RS+M.s2RS+M.s3RS)*Molweight/(VOLUME.aR+VOLUME.cwR+VOLUME.w0R+VOLUME.w1R+VOLUME.w2R+VOLUME.sd0R+VOLUME.sd1R+VOLUME.sd2R+VOLUME.s1R+VOLUME.s2R+VOLUME.s3R)</f>
        <v>1.4226509201012297E-12</v>
      </c>
      <c r="N100" s="484">
        <f xml:space="preserve"> (M.aCS+M.cwCS+M.w0CS+M.w1CS+M.w2CS+M.sd0CS+M.sd1CS+M.sd2CS+M.s1CS+M.s2CS+M.s3CS)*Molweight/(VOLUME.aC+VOLUME.cwC+VOLUME.w0C+VOLUME.w1C+VOLUME.w2C+VOLUME.sd0C+VOLUME.sd1C+VOLUME.sd2C+VOLUME.s1C+VOLUME.s2C+VOLUME.s3C)</f>
        <v>2.1166629660607105E-16</v>
      </c>
      <c r="O100" s="484">
        <f xml:space="preserve"> (M.aMS+M.cwMS+M.w2MS+M.w3MS+M.sdMS+M.sMS)*Molweight/(VOLUME.aM+VOLUME.cwM+VOLUME.w2M+VOLUME.w3M+VOLUME.sdM+VOLUME.sM)</f>
        <v>7.2344712806658128E-21</v>
      </c>
      <c r="P100" s="484">
        <f xml:space="preserve"> (M.aAS+M.cwAS+M.w2AS+M.w3AS+M.sdAS+M.sAS)*Molweight/(VOLUME.aA+VOLUME.cwA+VOLUME.w2A+VOLUME.w3A+VOLUME.sdA+VOLUME.sA)</f>
        <v>2.9897724481980325E-24</v>
      </c>
      <c r="Q100" s="484">
        <f xml:space="preserve"> (M.aTS+M.cwTS+M.w2TS+M.w3TS+M.sdTS+M.sTS)*Molweight/(VOLUME.aT+VOLUME.cwT+VOLUME.w2T+VOLUME.w3T+VOLUME.sdT+VOLUME.sT)</f>
        <v>1.3418532943134355E-24</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-1.1292645629082534E+18</v>
      </c>
      <c r="D101" s="446">
        <f>C101/$C$103</f>
        <v>1.0000000057407461</v>
      </c>
      <c r="E101" s="453">
        <f>SUM(E16,E24,E32,E40,E48,E56,E72,E80,E88,E96)</f>
        <v>-9.3187162681867267E+22</v>
      </c>
      <c r="F101" s="446">
        <f>E101/$E$103</f>
        <v>1.0000000000000002</v>
      </c>
      <c r="G101" s="453">
        <f>SUM(G16,G56,G64,G72,G96)</f>
        <v>-1.508638847263134E+25</v>
      </c>
      <c r="H101" s="446">
        <f>G101/$G$103</f>
        <v>1</v>
      </c>
      <c r="I101" s="453">
        <f>SUM(I16,I56,I64,I72,I96)</f>
        <v>-9.9886060208361701E+24</v>
      </c>
      <c r="J101" s="446">
        <f>I101/$I$103</f>
        <v>1</v>
      </c>
      <c r="K101" s="453">
        <f>SUM(K16,K56,K64,K72,K96)</f>
        <v>-3.7200166140768091E+25</v>
      </c>
      <c r="L101" s="461">
        <f>K101/$K$103</f>
        <v>1</v>
      </c>
      <c r="M101" s="484">
        <f xml:space="preserve"> (M.aRA+M.cwRA+M.w0RA+M.w1RA+M.w2RA+M.sd0RA+M.sd1RA+M.sd2RA+M.s1RA+M.s2RA+M.s3RA)*Molweight/(VOLUME.aR+VOLUME.cwR+VOLUME.w0R+VOLUME.w1R+VOLUME.w2R+VOLUME.sd0R+VOLUME.sd1R+VOLUME.sd2R+VOLUME.s1R+VOLUME.s2R+VOLUME.s3R)</f>
        <v>-4916.5175933985756</v>
      </c>
      <c r="N101" s="484">
        <f xml:space="preserve"> (M.aCA+M.cwCA+M.w0CA+M.w1CA+M.w2CA+M.sd0CA+M.sd1CA+M.sd2CA+M.s1CA+M.s2CA+M.s3CA)*Molweight/(VOLUME.aC+VOLUME.cwC+VOLUME.w0C+VOLUME.w1C+VOLUME.w2C+VOLUME.sd0C+VOLUME.sd1C+VOLUME.sd2C+VOLUME.s1C+VOLUME.s2C+VOLUME.s3C)</f>
        <v>-11730969.08377029</v>
      </c>
      <c r="O101" s="484">
        <f xml:space="preserve"> (M.aMA+M.cwMA+M.w2MA+M.w3MA+M.sdMA+M.sMA)*Molweight/(VOLUME.aM+VOLUME.cwM+VOLUME.w2M+VOLUME.w3M+VOLUME.sdM+VOLUME.sM)</f>
        <v>-76267216.399400771</v>
      </c>
      <c r="P101" s="484">
        <f xml:space="preserve"> (M.aAA+M.cwAA+M.w2AA+M.w3AA+M.sdAA+M.sAA)*Molweight/(VOLUME.aA+VOLUME.cwA+VOLUME.w2A+VOLUME.w3A+VOLUME.sdA+VOLUME.sA)</f>
        <v>-82175839.628593042</v>
      </c>
      <c r="Q101" s="484">
        <f xml:space="preserve"> (M.aTA+M.cwTA+M.w2TA+M.w3TA+M.sdTA+M.sTA)*Molweight/(VOLUME.aT+VOLUME.cwT+VOLUME.w2T+VOLUME.w3T+VOLUME.sdT+VOLUME.sT)</f>
        <v>-92038705.222025558</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6482820560.5216274</v>
      </c>
      <c r="D102" s="446">
        <f>C102/$C$103</f>
        <v>-5.7407456238973007E-9</v>
      </c>
      <c r="E102" s="453">
        <f>SUM(E17,E25,E33,E41,E49,E57,E73,E81,E89,E97)</f>
        <v>8511181.7602323927</v>
      </c>
      <c r="F102" s="446">
        <f>E102/$E$103</f>
        <v>-9.1334273040255734E-17</v>
      </c>
      <c r="G102" s="453">
        <f>SUM(G17,G57,G65,G73,G97)</f>
        <v>325619265.17356759</v>
      </c>
      <c r="H102" s="446">
        <f>G102/$G$103</f>
        <v>-2.1583645798613966E-17</v>
      </c>
      <c r="I102" s="453">
        <f>SUM(I17,I57,I65,I73,I97)</f>
        <v>137960128.69839218</v>
      </c>
      <c r="J102" s="446">
        <f>I102/$I$103</f>
        <v>-1.3811749948952657E-17</v>
      </c>
      <c r="K102" s="453">
        <f>SUM(K17,K57,K65,K73,K97)</f>
        <v>1326410671.0227642</v>
      </c>
      <c r="L102" s="461">
        <f>K102/$K$103</f>
        <v>-3.565604158872655E-17</v>
      </c>
      <c r="M102" s="484">
        <f xml:space="preserve"> (M.aRP+M.cwRP+M.w0RP+M.w1RP+M.w2RP+M.sd0RP+M.sd1RP+M.sd2RP+M.s1RP+M.s2RP+M.s3RP)*Molweight/(VOLUME.aR+VOLUME.cwR+VOLUME.w0R+VOLUME.w1R+VOLUME.w2R+VOLUME.sd0R+VOLUME.sd1R+VOLUME.sd2R+VOLUME.s1R+VOLUME.s2R+VOLUME.s3R)</f>
        <v>2.8224476697087419E-5</v>
      </c>
      <c r="N102" s="484">
        <f xml:space="preserve"> (M.aCP+M.cwCP+M.w0CP+M.w1CP+M.w2CP+M.sd0CP+M.sd1CP+M.sd2CP+M.s1CP+M.s2CP+M.s3CP)*Molweight/(VOLUME.aC+VOLUME.cwC+VOLUME.w0C+VOLUME.w1C+VOLUME.w2C+VOLUME.sd0C+VOLUME.sd1C+VOLUME.sd2C+VOLUME.s1C+VOLUME.s2C+VOLUME.s3C)</f>
        <v>1.0714395333238737E-9</v>
      </c>
      <c r="O102" s="484">
        <f xml:space="preserve"> (M.aMP+M.cwMP+M.w2MP+M.w3MP+M.sdMP+M.sMP)*Molweight/(VOLUME.aM+VOLUME.cwM+VOLUME.w2M+VOLUME.w3M+VOLUME.sdM+VOLUME.sM)</f>
        <v>1.6461245848109085E-9</v>
      </c>
      <c r="P102" s="484">
        <f xml:space="preserve"> (M.aAP+M.cwAP+M.w2AP+M.w3AP+M.sdAP+M.sAP)*Molweight/(VOLUME.aA+VOLUME.cwA+VOLUME.w2A+VOLUME.w3A+VOLUME.sdA+VOLUME.sA)</f>
        <v>1.1349921487953615E-9</v>
      </c>
      <c r="Q102" s="484">
        <f xml:space="preserve"> (M.aTP+M.cwTP+M.w2TP+M.w3TP+M.sdTP+M.sTP)*Molweight/(VOLUME.aT+VOLUME.cwT+VOLUME.w2T+VOLUME.w3T+VOLUME.sdT+VOLUME.sT)</f>
        <v>3.281735901169086E-9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-1.1292645564254324E+18</v>
      </c>
      <c r="D103" s="770"/>
      <c r="E103" s="772">
        <f>SUM(E99:E102)</f>
        <v>-9.318716268186725E+22</v>
      </c>
      <c r="F103" s="770"/>
      <c r="G103" s="772">
        <f>SUM(G99:G102)</f>
        <v>-1.508638847263134E+25</v>
      </c>
      <c r="H103" s="770"/>
      <c r="I103" s="772">
        <f>SUM(I99:I102)</f>
        <v>-9.9886060208361701E+24</v>
      </c>
      <c r="J103" s="770"/>
      <c r="K103" s="772">
        <f>SUM(K99:K102)</f>
        <v>-3.7200166140768091E+25</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-4916.5175651740983</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-11730969.083770288</v>
      </c>
      <c r="O103" s="767">
        <f xml:space="preserve"> (M.aMG+M.aMS+M.aMA+M.aMP+M.cwMS+M.cwMA+M.cwMP+M.w2MD+M.w2MS+M.w2MA+M.w2MP+M.w3MD+M.w3MS+M.w3MA+M.w3MP+M.sdMD+M.sdMS+M.sdMA+M.sdMP+M.sMD+M.sMS+M.sMA+M.sMP)*Molweight/(VOLUME.aM+VOLUME.cwM+VOLUME.w2M+VOLUME.w3M+VOLUME.sdM+VOLUME.sM)</f>
        <v>-76267216.399400771</v>
      </c>
      <c r="P103" s="767">
        <f xml:space="preserve"> (M.aAG+M.aAS+M.aAA+M.aAP+M.cwAS+M.cwAA+M.cwAP+M.w2AD+M.w2AS+M.w2AA+M.w2AP+M.w3AD+M.w3AS+M.w3AA+M.w3AP+M.sdAD+M.sdAS+M.sdAA+M.sdAP+M.sAD+M.sAS+M.sAA+M.sAP)*Molweight/(VOLUME.aA+VOLUME.cwA+VOLUME.w2A+VOLUME.w3A+VOLUME.sdA+VOLUME.sA)</f>
        <v>-82175839.628593042</v>
      </c>
      <c r="Q103" s="767">
        <f xml:space="preserve"> (M.aTG+M.aTS+M.aTA+M.aTP+M.cwTS+M.cwTA+M.cwTP+M.w2TD+M.w2TS+M.w2TA+M.w2TP+M.w3TD+M.w3TS+M.w3TA+M.w3TP+M.sdTD+M.sdTS+M.sdTA+M.sdTP+M.sTD+M.sTS+M.sTA+M.sTP)*Molweight/(VOLUME.aT+VOLUME.cwT+VOLUME.w2T+VOLUME.w3T+VOLUME.sdT+VOLUME.sT)</f>
        <v>-92038705.222025558</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1.42265092010123E-12</v>
      </c>
      <c r="N106" s="765">
        <f>E100/(VOLUME.aC+VOLUME.cwC+VOLUME.s1C+VOLUME.s2C+VOLUME.s3C+VOLUME.sd0C+VOLUME.sd1C+VOLUME.sd2C+VOLUME.w0C+VOLUME.w1C+VOLUME.w2C)</f>
        <v>2.11666296606071E-16</v>
      </c>
      <c r="O106" s="765">
        <f>G100/(VOLUME.aM+VOLUME.cwM+VOLUME.sdM+VOLUME.sM+VOLUME.w2M+VOLUME.w3M)</f>
        <v>7.2344712806658128E-21</v>
      </c>
      <c r="P106" s="765">
        <f>I100/(VOLUME.aA+VOLUME.cwA+VOLUME.sdA+VOLUME.sA+VOLUME.w2A+VOLUME.w3A)</f>
        <v>2.9897724481980325E-24</v>
      </c>
      <c r="Q106" s="765">
        <f>K100/(VOLUME.aT+VOLUME.cwT+VOLUME.sdT+VOLUME.sT+VOLUME.w2T+VOLUME.w3T)</f>
        <v>1.3418532943134355E-24</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-4916.5175933985774</v>
      </c>
      <c r="N107" s="765">
        <f>E101/(VOLUME.aC+VOLUME.cwC+VOLUME.s1C+VOLUME.s2C+VOLUME.s3C+VOLUME.sd0C+VOLUME.sd1C+VOLUME.sd2C+VOLUME.w0C+VOLUME.w1C+VOLUME.w2C)</f>
        <v>-11730969.083770288</v>
      </c>
      <c r="O107" s="765">
        <f>G101/(VOLUME.aM+VOLUME.cwM+VOLUME.sdM+VOLUME.sM+VOLUME.w2M+VOLUME.w3M)</f>
        <v>-76267216.399400771</v>
      </c>
      <c r="P107" s="765">
        <f>I101/(VOLUME.aA+VOLUME.cwA+VOLUME.sdA+VOLUME.sA+VOLUME.w2A+VOLUME.w3A)</f>
        <v>-82175839.628593042</v>
      </c>
      <c r="Q107" s="765">
        <f>K101/(VOLUME.aT+VOLUME.cwT+VOLUME.sdT+VOLUME.sT+VOLUME.w2T+VOLUME.w3T)</f>
        <v>-92038705.222025558</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2.8224476697087416E-5</v>
      </c>
      <c r="N108" s="765">
        <f>E102/(VOLUME.aC+VOLUME.cwC+VOLUME.s1C+VOLUME.s2C+VOLUME.s3C+VOLUME.sd0C+VOLUME.sd1C+VOLUME.sd2C+VOLUME.w0C+VOLUME.w1C+VOLUME.w2C)</f>
        <v>1.0714395333238739E-9</v>
      </c>
      <c r="O108" s="765">
        <f>G102/(VOLUME.aM+VOLUME.cwM+VOLUME.sdM+VOLUME.sM+VOLUME.w2M+VOLUME.w3M)</f>
        <v>1.6461245848109085E-9</v>
      </c>
      <c r="P108" s="765">
        <f>I102/(VOLUME.aA+VOLUME.cwA+VOLUME.sdA+VOLUME.sA+VOLUME.w2A+VOLUME.w3A)</f>
        <v>1.1349921487953617E-9</v>
      </c>
      <c r="Q108" s="765">
        <f>K102/(VOLUME.aT+VOLUME.cwT+VOLUME.sdT+VOLUME.sT+VOLUME.w2T+VOLUME.w3T)</f>
        <v>3.2817359011690868E-9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-4916.5175651740983</v>
      </c>
      <c r="N109" s="765">
        <f>E103/(VOLUME.aC+VOLUME.cwC+VOLUME.s1C+VOLUME.s2C+VOLUME.s3C+VOLUME.sd0C+VOLUME.sd1C+VOLUME.sd2C+VOLUME.w0C+VOLUME.w1C+VOLUME.w2C)</f>
        <v>-11730969.083770286</v>
      </c>
      <c r="O109" s="765">
        <f>G103/(VOLUME.aM+VOLUME.cwM+VOLUME.sdM+VOLUME.sM+VOLUME.w2M+VOLUME.w3M)</f>
        <v>-76267216.399400771</v>
      </c>
      <c r="P109" s="765">
        <f>I103/(VOLUME.aA+VOLUME.cwA+VOLUME.sdA+VOLUME.sA+VOLUME.w2A+VOLUME.w3A)</f>
        <v>-82175839.628593042</v>
      </c>
      <c r="Q109" s="765">
        <f>K103/(VOLUME.aT+VOLUME.cwT+VOLUME.sdT+VOLUME.sT+VOLUME.w2T+VOLUME.w3T)</f>
        <v>-92038705.222025558</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3">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GO-Chitosan</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45461</v>
      </c>
      <c r="BU164" s="80"/>
      <c r="BV164" s="122"/>
      <c r="BW164" s="2"/>
      <c r="BX164" s="2"/>
      <c r="BY164" s="90" t="s">
        <v>263</v>
      </c>
      <c r="BZ164" s="2"/>
      <c r="CA164" s="89">
        <f>G60</f>
        <v>0</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I75" sqref="I75"/>
    </sheetView>
  </sheetViews>
  <sheetFormatPr defaultRowHeight="13.8" x14ac:dyDescent="0.3"/>
  <cols>
    <col min="1" max="1" width="24.44140625" customWidth="1"/>
    <col min="3" max="3" width="10.6640625" customWidth="1"/>
    <col min="8" max="8" width="11.109375" customWidth="1"/>
    <col min="9" max="9" width="29.88671875" customWidth="1"/>
    <col min="17" max="17" width="28.3320312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5" x14ac:dyDescent="0.3">
      <c r="A4" s="452" t="s">
        <v>136</v>
      </c>
      <c r="B4">
        <f>J4+J18+J32</f>
        <v>3.6523037541513408E-8</v>
      </c>
      <c r="C4">
        <f>K4+K18+K32</f>
        <v>2.5044519185600317E-10</v>
      </c>
      <c r="D4">
        <f>L4+L18+L32</f>
        <v>7.3699233839460352E-13</v>
      </c>
      <c r="E4">
        <f>M4+M18+M32</f>
        <v>2.8227644449649484E-14</v>
      </c>
      <c r="F4">
        <f>N4+N18+N32</f>
        <v>4.1412438929462136E-15</v>
      </c>
      <c r="G4" s="160" t="s">
        <v>277</v>
      </c>
      <c r="I4" s="452" t="s">
        <v>136</v>
      </c>
      <c r="J4">
        <f>'all species output'!$M15</f>
        <v>1.2608330382010662E-9</v>
      </c>
      <c r="K4">
        <f>'all species output'!$N15</f>
        <v>2.3318552237452291E-13</v>
      </c>
      <c r="L4">
        <f>'all species output'!$O15</f>
        <v>1.8421034736264048E-17</v>
      </c>
      <c r="M4">
        <f>'all species output'!$P15</f>
        <v>8.5454142048593588E-21</v>
      </c>
      <c r="N4">
        <f>'all species output'!$Q15</f>
        <v>4.242119922514784E-21</v>
      </c>
      <c r="O4" s="160" t="s">
        <v>137</v>
      </c>
      <c r="Q4" s="398"/>
      <c r="R4" t="s">
        <v>270</v>
      </c>
      <c r="S4" t="s">
        <v>271</v>
      </c>
      <c r="T4" t="s">
        <v>272</v>
      </c>
      <c r="U4" t="s">
        <v>273</v>
      </c>
      <c r="V4" t="s">
        <v>274</v>
      </c>
      <c r="W4" s="837"/>
    </row>
    <row r="5" spans="1:23" ht="15" x14ac:dyDescent="0.3">
      <c r="A5" s="104" t="s">
        <v>157</v>
      </c>
      <c r="B5">
        <f t="shared" ref="B5:C9" si="0">J5+J19+J33</f>
        <v>3.0843316525591089E-4</v>
      </c>
      <c r="C5">
        <f t="shared" si="0"/>
        <v>1.0987483425561025E-6</v>
      </c>
      <c r="G5" s="160" t="s">
        <v>234</v>
      </c>
      <c r="I5" s="104" t="s">
        <v>157</v>
      </c>
      <c r="J5">
        <f>'all species output'!$M23</f>
        <v>9.6606898257674011E-13</v>
      </c>
      <c r="K5">
        <f>'all species output'!$N23</f>
        <v>1.7786899864795128E-16</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5" x14ac:dyDescent="0.3">
      <c r="A6" s="104" t="s">
        <v>174</v>
      </c>
      <c r="B6">
        <f t="shared" si="0"/>
        <v>9.0932451490455757E-2</v>
      </c>
      <c r="C6">
        <f t="shared" si="0"/>
        <v>4.6481778688350128E-7</v>
      </c>
      <c r="G6" s="160" t="s">
        <v>237</v>
      </c>
      <c r="I6" s="104" t="s">
        <v>174</v>
      </c>
      <c r="J6">
        <f>'all species output'!$M31</f>
        <v>1.8686571545303958E-28</v>
      </c>
      <c r="K6">
        <f>'all species output'!$N31</f>
        <v>3.4405015396171723E-32</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5" x14ac:dyDescent="0.3">
      <c r="A7" s="104" t="s">
        <v>204</v>
      </c>
      <c r="B7">
        <f t="shared" si="0"/>
        <v>6.0418446625418198E-4</v>
      </c>
      <c r="C7">
        <f t="shared" si="0"/>
        <v>1.3185236172562958E-6</v>
      </c>
      <c r="G7" s="160" t="s">
        <v>234</v>
      </c>
      <c r="I7" s="104" t="s">
        <v>204</v>
      </c>
      <c r="J7">
        <f>'all species output'!$M39</f>
        <v>1.2980908362454866E-9</v>
      </c>
      <c r="K7">
        <f>'all species output'!$N39</f>
        <v>1.4904379410011388E-16</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5" x14ac:dyDescent="0.3">
      <c r="A8" s="104" t="s">
        <v>209</v>
      </c>
      <c r="B8">
        <f t="shared" si="0"/>
        <v>8.5949730833129165E-2</v>
      </c>
      <c r="C8">
        <f t="shared" si="0"/>
        <v>4.1503472925261506E-7</v>
      </c>
      <c r="G8" s="160" t="s">
        <v>237</v>
      </c>
      <c r="I8" s="104" t="s">
        <v>209</v>
      </c>
      <c r="J8">
        <f>'all species output'!$M47</f>
        <v>2.5108333399972505E-25</v>
      </c>
      <c r="K8">
        <f>'all species output'!$N47</f>
        <v>2.8828808962909935E-32</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5" x14ac:dyDescent="0.3">
      <c r="A9" s="104" t="s">
        <v>220</v>
      </c>
      <c r="B9">
        <f t="shared" si="0"/>
        <v>-112926456.29439688</v>
      </c>
      <c r="C9">
        <f t="shared" si="0"/>
        <v>-125473840.32717477</v>
      </c>
      <c r="D9">
        <f t="shared" ref="D9:F11" si="1">L9+L23+L37</f>
        <v>-125473840.32717481</v>
      </c>
      <c r="E9">
        <f t="shared" si="1"/>
        <v>-152885190.51266277</v>
      </c>
      <c r="F9">
        <f t="shared" si="1"/>
        <v>-125473840.32717505</v>
      </c>
      <c r="G9" s="160" t="s">
        <v>234</v>
      </c>
      <c r="I9" s="104" t="s">
        <v>220</v>
      </c>
      <c r="J9">
        <f>'all species output'!$M55</f>
        <v>2.2537981801570511E-13</v>
      </c>
      <c r="K9">
        <f>'all species output'!$N55</f>
        <v>1.9712038142857347E-18</v>
      </c>
      <c r="L9">
        <f>'all species output'!$O55</f>
        <v>3.1220534628025439E-22</v>
      </c>
      <c r="M9">
        <f>'all species output'!$P55</f>
        <v>5.3444753156208422E-26</v>
      </c>
      <c r="N9">
        <f>'all species output'!$Q55</f>
        <v>1.296287184562957E-25</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5" x14ac:dyDescent="0.3">
      <c r="A10" s="104" t="s">
        <v>233</v>
      </c>
      <c r="D10">
        <f t="shared" si="1"/>
        <v>-125473840.32717484</v>
      </c>
      <c r="E10">
        <f t="shared" si="1"/>
        <v>-125473840.32717484</v>
      </c>
      <c r="F10">
        <f t="shared" si="1"/>
        <v>-134753733.39252305</v>
      </c>
      <c r="G10" s="160" t="s">
        <v>234</v>
      </c>
      <c r="I10" s="104" t="s">
        <v>233</v>
      </c>
      <c r="L10">
        <f>'all species output'!$O63</f>
        <v>1.7635520810232654E-28</v>
      </c>
      <c r="M10">
        <f>'all species output'!$P63</f>
        <v>3.2967579316368317E-32</v>
      </c>
      <c r="N10">
        <f>'all species output'!$Q63</f>
        <v>6.6401944761571495E-32</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5" x14ac:dyDescent="0.3">
      <c r="A11" s="104" t="s">
        <v>236</v>
      </c>
      <c r="B11">
        <f t="shared" ref="B11:C14" si="2">J11+J25+J39</f>
        <v>2.0342677880621149E-2</v>
      </c>
      <c r="C11">
        <f t="shared" si="2"/>
        <v>-3.2318865393989081E-3</v>
      </c>
      <c r="D11">
        <f t="shared" si="1"/>
        <v>-3.2070312354703142E-3</v>
      </c>
      <c r="E11">
        <f t="shared" si="1"/>
        <v>-3.233732068692481E-3</v>
      </c>
      <c r="F11">
        <f t="shared" si="1"/>
        <v>-3.392247681800192E-3</v>
      </c>
      <c r="G11" s="160" t="s">
        <v>237</v>
      </c>
      <c r="I11" s="104" t="s">
        <v>236</v>
      </c>
      <c r="J11">
        <f>'all species output'!$M71</f>
        <v>4.3595046051522062E-30</v>
      </c>
      <c r="K11">
        <f>'all species output'!$N71</f>
        <v>3.8128844817300506E-35</v>
      </c>
      <c r="L11">
        <f>'all species output'!$O71</f>
        <v>3.4112253201442132E-45</v>
      </c>
      <c r="M11">
        <f>'all species output'!$P71</f>
        <v>6.5060772750040498E-49</v>
      </c>
      <c r="N11">
        <f>'all species output'!$Q71</f>
        <v>1.2693758739181614E-48</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5" x14ac:dyDescent="0.3">
      <c r="A12" s="104" t="s">
        <v>238</v>
      </c>
      <c r="B12">
        <f t="shared" si="2"/>
        <v>4.3983266737043329E-3</v>
      </c>
      <c r="C12">
        <f t="shared" si="2"/>
        <v>1.4591368557229144E-6</v>
      </c>
      <c r="G12" s="160" t="s">
        <v>237</v>
      </c>
      <c r="I12" s="104" t="s">
        <v>238</v>
      </c>
      <c r="J12">
        <f>'all species output'!$M79</f>
        <v>1.8604157070297151E-11</v>
      </c>
      <c r="K12">
        <f>'all species output'!$N79</f>
        <v>3.4389474312945934E-15</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5" x14ac:dyDescent="0.3">
      <c r="A13" s="104" t="s">
        <v>240</v>
      </c>
      <c r="B13">
        <f t="shared" si="2"/>
        <v>0.13798502125833059</v>
      </c>
      <c r="C13">
        <f t="shared" si="2"/>
        <v>8.0165132776153728E-7</v>
      </c>
      <c r="G13" s="160" t="s">
        <v>237</v>
      </c>
      <c r="I13" s="104" t="s">
        <v>240</v>
      </c>
      <c r="J13">
        <f>'all species output'!$M87</f>
        <v>2.7122864810702383E-10</v>
      </c>
      <c r="K13">
        <f>'all species output'!$N87</f>
        <v>8.5973946587144512E-16</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5" x14ac:dyDescent="0.3">
      <c r="A14" s="838" t="s">
        <v>241</v>
      </c>
      <c r="B14" s="487">
        <f t="shared" si="2"/>
        <v>4.3983266737043338E-3</v>
      </c>
      <c r="C14" s="487">
        <f t="shared" si="2"/>
        <v>1.4591368557229144E-6</v>
      </c>
      <c r="D14" s="487">
        <f>L14+L28+L42</f>
        <v>2.0160755165406209E-9</v>
      </c>
      <c r="E14" s="487">
        <f>M14+M28+M42</f>
        <v>1.0320414405745364E-10</v>
      </c>
      <c r="F14" s="487">
        <f>N14+N28+N42</f>
        <v>9.7145767048837504E-12</v>
      </c>
      <c r="G14" s="839" t="s">
        <v>237</v>
      </c>
      <c r="I14" s="838" t="s">
        <v>241</v>
      </c>
      <c r="J14" s="487">
        <f>'all species output'!$M95</f>
        <v>1.8604157070297151E-11</v>
      </c>
      <c r="K14" s="487">
        <f>'all species output'!$N95</f>
        <v>3.4389474312945934E-15</v>
      </c>
      <c r="L14" s="487">
        <f>'all species output'!$O95</f>
        <v>2.7166768092196552E-19</v>
      </c>
      <c r="M14" s="487">
        <f>'all species output'!$P95</f>
        <v>6.5937170868559939E-23</v>
      </c>
      <c r="N14" s="487">
        <f>'all species output'!$Q95</f>
        <v>9.9183429083785239E-23</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5" x14ac:dyDescent="0.3">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5" x14ac:dyDescent="0.3">
      <c r="I18" s="452" t="s">
        <v>136</v>
      </c>
      <c r="J18">
        <f>'all species output'!$M16</f>
        <v>3.5262199480390424E-8</v>
      </c>
      <c r="K18">
        <f>'all species output'!$N16</f>
        <v>2.5021198563126346E-10</v>
      </c>
      <c r="L18">
        <f>'all species output'!$O16</f>
        <v>7.3697388240856031E-13</v>
      </c>
      <c r="M18">
        <f>'all species output'!$P16</f>
        <v>2.8227635043529162E-14</v>
      </c>
      <c r="N18">
        <f>'all species output'!$Q16</f>
        <v>4.1412395501674605E-15</v>
      </c>
      <c r="O18" s="160" t="s">
        <v>137</v>
      </c>
    </row>
    <row r="19" spans="9:15" ht="15" x14ac:dyDescent="0.3">
      <c r="I19" s="104" t="s">
        <v>157</v>
      </c>
      <c r="J19">
        <f>'all species output'!$M24</f>
        <v>3.0779054284765632E-4</v>
      </c>
      <c r="K19">
        <f>'all species output'!$N24</f>
        <v>1.0987450814854607E-6</v>
      </c>
      <c r="O19" s="160" t="s">
        <v>158</v>
      </c>
    </row>
    <row r="20" spans="9:15" ht="15" x14ac:dyDescent="0.3">
      <c r="I20" s="104" t="s">
        <v>174</v>
      </c>
      <c r="J20">
        <f>'all species output'!$M32</f>
        <v>2.7257552441781426E-14</v>
      </c>
      <c r="K20">
        <f>'all species output'!$N32</f>
        <v>9.8019179186297545E-17</v>
      </c>
      <c r="O20" s="160" t="s">
        <v>175</v>
      </c>
    </row>
    <row r="21" spans="9:15" ht="15" x14ac:dyDescent="0.3">
      <c r="I21" s="104" t="s">
        <v>204</v>
      </c>
      <c r="J21">
        <f>'all species output'!$M40</f>
        <v>5.9801326654151607E-4</v>
      </c>
      <c r="K21">
        <f>'all species output'!$N40</f>
        <v>1.3184938238382768E-6</v>
      </c>
      <c r="O21" s="160" t="s">
        <v>158</v>
      </c>
    </row>
    <row r="22" spans="9:15" ht="15" x14ac:dyDescent="0.3">
      <c r="I22" s="104" t="s">
        <v>209</v>
      </c>
      <c r="J22">
        <f>'all species output'!$M48</f>
        <v>5.2136909097988314E-15</v>
      </c>
      <c r="K22">
        <f>'all species output'!$N48</f>
        <v>1.1495087424586144E-17</v>
      </c>
      <c r="O22" s="160" t="s">
        <v>175</v>
      </c>
    </row>
    <row r="23" spans="9:15" ht="15" x14ac:dyDescent="0.3">
      <c r="I23" s="104" t="s">
        <v>220</v>
      </c>
      <c r="J23">
        <f>'all species output'!$M56</f>
        <v>-112926456.29439743</v>
      </c>
      <c r="K23">
        <f>'all species output'!$N56</f>
        <v>-125473840.32717477</v>
      </c>
      <c r="L23">
        <f>'all species output'!$O56</f>
        <v>-125473840.32717481</v>
      </c>
      <c r="M23">
        <f>'all species output'!$P56</f>
        <v>-152885190.51266277</v>
      </c>
      <c r="N23">
        <f>'all species output'!$Q56</f>
        <v>-125473840.32717505</v>
      </c>
      <c r="O23" s="160" t="s">
        <v>158</v>
      </c>
    </row>
    <row r="24" spans="9:15" ht="15" x14ac:dyDescent="0.3">
      <c r="I24" s="104" t="s">
        <v>233</v>
      </c>
      <c r="L24">
        <f>'all species output'!$O64</f>
        <v>-125473840.32717484</v>
      </c>
      <c r="M24">
        <f>'all species output'!$P64</f>
        <v>-125473840.32717484</v>
      </c>
      <c r="N24">
        <f>'all species output'!$Q64</f>
        <v>-134753733.39252305</v>
      </c>
      <c r="O24" s="160" t="s">
        <v>158</v>
      </c>
    </row>
    <row r="25" spans="9:15" ht="15" x14ac:dyDescent="0.3">
      <c r="I25" s="104" t="s">
        <v>236</v>
      </c>
      <c r="J25">
        <f>'all species output'!$M72</f>
        <v>-2.9535962872312893E-3</v>
      </c>
      <c r="K25">
        <f>'all species output'!$N72</f>
        <v>-3.2817736524809499E-3</v>
      </c>
      <c r="L25">
        <f>'all species output'!$O72</f>
        <v>-3.2817736524809538E-3</v>
      </c>
      <c r="M25">
        <f>'all species output'!$P72</f>
        <v>-3.2817736524809525E-3</v>
      </c>
      <c r="N25">
        <f>'all species output'!$Q72</f>
        <v>-3.5247936815291803E-3</v>
      </c>
      <c r="O25" s="160" t="s">
        <v>175</v>
      </c>
    </row>
    <row r="26" spans="9:15" ht="15" x14ac:dyDescent="0.3">
      <c r="I26" s="104" t="s">
        <v>238</v>
      </c>
      <c r="J26">
        <f>'all species output'!$M80</f>
        <v>9.5492082100703162E-5</v>
      </c>
      <c r="K26">
        <f>'all species output'!$N80</f>
        <v>6.6340427404329896E-7</v>
      </c>
      <c r="O26" s="160" t="s">
        <v>175</v>
      </c>
    </row>
    <row r="27" spans="9:15" ht="15" x14ac:dyDescent="0.3">
      <c r="I27" s="104" t="s">
        <v>240</v>
      </c>
      <c r="J27">
        <f>'all species output'!$M88</f>
        <v>1.3464325041183056E-4</v>
      </c>
      <c r="K27">
        <f>'all species output'!$N88</f>
        <v>3.6448640695244116E-7</v>
      </c>
      <c r="O27" s="160" t="s">
        <v>175</v>
      </c>
    </row>
    <row r="28" spans="9:15" ht="15" x14ac:dyDescent="0.3">
      <c r="I28" s="838" t="s">
        <v>241</v>
      </c>
      <c r="J28" s="487">
        <f>'all species output'!$M96</f>
        <v>9.5492082100703162E-5</v>
      </c>
      <c r="K28" s="487">
        <f>'all species output'!$N96</f>
        <v>6.6340427404329907E-7</v>
      </c>
      <c r="L28" s="487">
        <f>'all species output'!$O96</f>
        <v>1.952606909688476E-9</v>
      </c>
      <c r="M28" s="487">
        <f>'all species output'!$P96</f>
        <v>1.0318309490394899E-10</v>
      </c>
      <c r="N28" s="487">
        <f>'all species output'!$Q96</f>
        <v>9.6882944555981018E-12</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5" x14ac:dyDescent="0.3">
      <c r="I32" s="452" t="s">
        <v>136</v>
      </c>
      <c r="J32">
        <f>'all species output'!$M17</f>
        <v>5.022921923499172E-15</v>
      </c>
      <c r="K32">
        <f>'all species output'!$N17</f>
        <v>2.0702365175583688E-17</v>
      </c>
      <c r="L32">
        <f>'all species output'!$O17</f>
        <v>3.4951306934013351E-20</v>
      </c>
      <c r="M32">
        <f>'all species output'!$P17</f>
        <v>8.6070611925660887E-22</v>
      </c>
      <c r="N32">
        <f>'all species output'!$Q17</f>
        <v>1.0065883051978083E-22</v>
      </c>
      <c r="O32" s="160" t="s">
        <v>137</v>
      </c>
    </row>
    <row r="33" spans="9:15" ht="15" x14ac:dyDescent="0.3">
      <c r="I33" s="104" t="s">
        <v>157</v>
      </c>
      <c r="J33">
        <f>'all species output'!$M25</f>
        <v>6.4262144218560955E-7</v>
      </c>
      <c r="K33">
        <f>'all species output'!$N25</f>
        <v>3.2608927727856365E-12</v>
      </c>
      <c r="O33" s="160" t="s">
        <v>158</v>
      </c>
    </row>
    <row r="34" spans="9:15" ht="15" x14ac:dyDescent="0.3">
      <c r="I34" s="104" t="s">
        <v>174</v>
      </c>
      <c r="J34">
        <f>'all species output'!$M33</f>
        <v>9.0932451490428501E-2</v>
      </c>
      <c r="K34">
        <f>'all species output'!$N33</f>
        <v>4.648177867854821E-7</v>
      </c>
      <c r="O34" s="160" t="s">
        <v>175</v>
      </c>
    </row>
    <row r="35" spans="9:15" ht="15" x14ac:dyDescent="0.3">
      <c r="I35" s="104" t="s">
        <v>204</v>
      </c>
      <c r="J35">
        <f>'all species output'!$M41</f>
        <v>6.1699016218296779E-6</v>
      </c>
      <c r="K35">
        <f>'all species output'!$N41</f>
        <v>2.9793268975236359E-11</v>
      </c>
      <c r="O35" s="160" t="s">
        <v>158</v>
      </c>
    </row>
    <row r="36" spans="9:15" ht="15" x14ac:dyDescent="0.3">
      <c r="I36" s="104" t="s">
        <v>209</v>
      </c>
      <c r="J36">
        <f>'all species output'!$M49</f>
        <v>8.5949730833123947E-2</v>
      </c>
      <c r="K36">
        <f>'all species output'!$N49</f>
        <v>4.1503472924111998E-7</v>
      </c>
      <c r="O36" s="160" t="s">
        <v>175</v>
      </c>
    </row>
    <row r="37" spans="9:15" ht="15" x14ac:dyDescent="0.3">
      <c r="I37" s="104" t="s">
        <v>220</v>
      </c>
      <c r="J37">
        <f>'all species output'!$M57</f>
        <v>5.5744103123833392E-7</v>
      </c>
      <c r="K37">
        <f>'all species output'!$N57</f>
        <v>1.1937155083936907E-9</v>
      </c>
      <c r="L37">
        <f>'all species output'!$O57</f>
        <v>1.1502284046591591E-9</v>
      </c>
      <c r="M37">
        <f>'all species output'!$P57</f>
        <v>8.7914155806874373E-10</v>
      </c>
      <c r="N37">
        <f>'all species output'!$Q57</f>
        <v>1.7845602943720999E-9</v>
      </c>
      <c r="O37" s="160" t="s">
        <v>158</v>
      </c>
    </row>
    <row r="38" spans="9:15" ht="15" x14ac:dyDescent="0.3">
      <c r="I38" s="104" t="s">
        <v>233</v>
      </c>
      <c r="L38">
        <f>'all species output'!$O65</f>
        <v>1.7884615245965453E-9</v>
      </c>
      <c r="M38">
        <f>'all species output'!$P65</f>
        <v>1.1495550668923632E-9</v>
      </c>
      <c r="N38">
        <f>'all species output'!$Q65</f>
        <v>3.1713313977716752E-9</v>
      </c>
      <c r="O38" s="160" t="s">
        <v>158</v>
      </c>
    </row>
    <row r="39" spans="9:15" ht="15" x14ac:dyDescent="0.3">
      <c r="I39" s="104" t="s">
        <v>236</v>
      </c>
      <c r="J39">
        <f>'all species output'!$M73</f>
        <v>2.3296274167852439E-2</v>
      </c>
      <c r="K39">
        <f>'all species output'!$N73</f>
        <v>4.9887113082041817E-5</v>
      </c>
      <c r="L39">
        <f>'all species output'!$O73</f>
        <v>7.4742417010639531E-5</v>
      </c>
      <c r="M39">
        <f>'all species output'!$P73</f>
        <v>4.8041583788471594E-5</v>
      </c>
      <c r="N39">
        <f>'all species output'!$Q73</f>
        <v>1.3254599972898856E-4</v>
      </c>
      <c r="O39" s="160" t="s">
        <v>175</v>
      </c>
    </row>
    <row r="40" spans="9:15" ht="15" x14ac:dyDescent="0.3">
      <c r="I40" s="104" t="s">
        <v>238</v>
      </c>
      <c r="J40">
        <f>'all species output'!$M81</f>
        <v>4.3028345729994727E-3</v>
      </c>
      <c r="K40">
        <f>'all species output'!$N81</f>
        <v>7.9573257824066797E-7</v>
      </c>
      <c r="O40" s="160" t="s">
        <v>175</v>
      </c>
    </row>
    <row r="41" spans="9:15" ht="15" x14ac:dyDescent="0.3">
      <c r="I41" s="104" t="s">
        <v>240</v>
      </c>
      <c r="J41">
        <f>'all species output'!$M89</f>
        <v>0.13785037773669012</v>
      </c>
      <c r="K41">
        <f>'all species output'!$N89</f>
        <v>4.3716491994935673E-7</v>
      </c>
      <c r="O41" s="160" t="s">
        <v>175</v>
      </c>
    </row>
    <row r="42" spans="9:15" ht="15" x14ac:dyDescent="0.3">
      <c r="I42" s="838" t="s">
        <v>241</v>
      </c>
      <c r="J42" s="487">
        <f>'all species output'!$M97</f>
        <v>4.3028345729994736E-3</v>
      </c>
      <c r="K42" s="487">
        <f>'all species output'!$N97</f>
        <v>7.9573257824066797E-7</v>
      </c>
      <c r="L42" s="487">
        <f>'all species output'!$O97</f>
        <v>6.3468606580477483E-11</v>
      </c>
      <c r="M42" s="487">
        <f>'all species output'!$P97</f>
        <v>2.1049153438717969E-14</v>
      </c>
      <c r="N42" s="487">
        <f>'all species output'!$Q97</f>
        <v>2.628224918646443E-14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A355" zoomScaleNormal="100" workbookViewId="0">
      <selection activeCell="I399" sqref="I399"/>
    </sheetView>
  </sheetViews>
  <sheetFormatPr defaultColWidth="9.109375" defaultRowHeight="12.75" customHeight="1" x14ac:dyDescent="0.3"/>
  <cols>
    <col min="1" max="5" width="1.6640625" customWidth="1" collapsed="1"/>
    <col min="6" max="6" width="65.6640625" customWidth="1" collapsed="1"/>
    <col min="7" max="7" width="16" style="172" bestFit="1" customWidth="1" collapsed="1"/>
    <col min="8" max="8" width="11.44140625" style="172" bestFit="1" customWidth="1" collapsed="1"/>
    <col min="9" max="9" width="8" style="14" customWidth="1" collapsed="1"/>
    <col min="10" max="10" width="8.6640625" customWidth="1" collapsed="1"/>
    <col min="11" max="11" width="8.88671875" customWidth="1" collapsed="1"/>
    <col min="12" max="12" width="9.6640625" customWidth="1" collapsed="1"/>
    <col min="13" max="13" width="9.109375" collapsed="1"/>
    <col min="14" max="14" width="67.33203125" customWidth="1" collapsed="1"/>
    <col min="15" max="15" width="9.109375" style="27" collapsed="1"/>
    <col min="16" max="17" width="23.88671875" style="27" customWidth="1" collapsed="1"/>
    <col min="18" max="18" width="10.44140625" style="27" bestFit="1" customWidth="1" collapsed="1"/>
    <col min="19" max="19" width="11.44140625" bestFit="1" customWidth="1" collapsed="1"/>
    <col min="20" max="24" width="10.44140625" bestFit="1" customWidth="1" collapsed="1"/>
    <col min="25" max="25" width="11.44140625" bestFit="1" customWidth="1" collapsed="1"/>
    <col min="26" max="34" width="9.109375" style="27" collapsed="1"/>
    <col min="35" max="39" width="9.109375" style="27"/>
    <col min="40" max="16384" width="9.109375" style="27" collapsed="1"/>
  </cols>
  <sheetData>
    <row r="1" spans="1:34" s="26" customFormat="1" ht="12.75" customHeight="1" x14ac:dyDescent="0.3">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05" customHeight="1" x14ac:dyDescent="0.3">
      <c r="A5" s="144" t="s">
        <v>85</v>
      </c>
      <c r="B5" s="17"/>
      <c r="C5" s="17"/>
      <c r="D5" s="17"/>
      <c r="E5" s="17"/>
      <c r="F5" s="17"/>
      <c r="G5" s="144" t="s">
        <v>289</v>
      </c>
      <c r="H5" s="1004" t="s">
        <v>4777</v>
      </c>
      <c r="I5" s="1005"/>
      <c r="J5" s="852" t="str">
        <f>IF(HLOOKUP(CaseName,CaseData,MATCH($G5,cases!$G$3:$G$1259,0)-1,FALSE)="","",HLOOKUP(CaseName,CaseData,MATCH($G5,cases!$G$3:$G$1259,0)-1,FALSE))</f>
        <v/>
      </c>
      <c r="K5" s="152" t="s">
        <v>290</v>
      </c>
      <c r="L5" s="153" t="str">
        <f>IF(ISBLANK(I6),IF(ISBLANK(H5),IF(J5="",K5,J5),H5),VLOOKUP(ChemRowNr,substances!A9:B4019,2,0))</f>
        <v>GO-Chitosan</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18</v>
      </c>
      <c r="L6" s="256">
        <f>IF(ISBLANK(I6),IF(J6=0,K6,J6),I6)</f>
        <v>18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0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0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v>2840</v>
      </c>
      <c r="J14" s="568">
        <f>IF(HLOOKUP(CaseName,CaseData,MATCH($G14,cases!$G$3:$G$1259,0)-1,FALSE)="",IF(ISBLANK(VLOOKUP(ChemName,ChemData,MATCH(G14,substances!$3:$3,FALSE)-1,FALSE)),"",VLOOKUP(ChemName,ChemData,MATCH(G14,substances!$3:$3,FALSE)-1,FALSE)),HLOOKUP(CaseName,CaseData,MATCH($G14,cases!$G$3:$G$1259,0)-1,FALSE))</f>
        <v>35000</v>
      </c>
      <c r="K14" s="723">
        <v>10</v>
      </c>
      <c r="L14" s="551">
        <f>IF(ISBLANK(I14), IF(ISNUMBER(J14)=FALSE, K14*10^-9, J14*10^-9), I14*10^-9)</f>
        <v>2.8400000000000003E-6</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408</v>
      </c>
      <c r="K15" s="723">
        <f>4.23*10^3</f>
        <v>4230</v>
      </c>
      <c r="L15" s="551">
        <f>IF(ISBLANK(I15), IF(ISNUMBER(J15)=FALSE, K15, J15), I15)</f>
        <v>408</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v>
      </c>
      <c r="K21" s="697">
        <v>0.1</v>
      </c>
      <c r="L21" s="551">
        <f t="shared" ref="L21:L40" si="0">IF(ISBLANK(I21), IF(ISNUMBER(J21)=FALSE, K21, J21), I21)</f>
        <v>0.1</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0.1</v>
      </c>
      <c r="K22" s="697">
        <v>0.1</v>
      </c>
      <c r="L22" s="551">
        <f t="shared" si="0"/>
        <v>0.1</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0.1</v>
      </c>
      <c r="K23" s="697">
        <v>0.1</v>
      </c>
      <c r="L23" s="551">
        <f t="shared" si="0"/>
        <v>0.1</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0.1</v>
      </c>
      <c r="K24" s="697">
        <v>0.1</v>
      </c>
      <c r="L24" s="551">
        <f t="shared" si="0"/>
        <v>0.1</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0.1</v>
      </c>
      <c r="K29" s="697">
        <v>0.1</v>
      </c>
      <c r="L29" s="551">
        <f t="shared" si="0"/>
        <v>0.1</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0.1</v>
      </c>
      <c r="K30" s="697">
        <v>0.1</v>
      </c>
      <c r="L30" s="551">
        <f t="shared" si="0"/>
        <v>0.1</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0.1</v>
      </c>
      <c r="K31" s="697">
        <v>0.1</v>
      </c>
      <c r="L31" s="551">
        <f t="shared" si="0"/>
        <v>0.1</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0.1</v>
      </c>
      <c r="K32" s="697">
        <v>0.1</v>
      </c>
      <c r="L32" s="551">
        <f t="shared" si="0"/>
        <v>0.1</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0.1</v>
      </c>
      <c r="K33" s="697">
        <v>0.1</v>
      </c>
      <c r="L33" s="551">
        <f t="shared" si="0"/>
        <v>0.1</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0.1</v>
      </c>
      <c r="K34" s="697">
        <v>0.1</v>
      </c>
      <c r="L34" s="551">
        <f t="shared" si="0"/>
        <v>0.1</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v>
      </c>
      <c r="K35" s="697">
        <v>0.1</v>
      </c>
      <c r="L35" s="551">
        <f t="shared" si="0"/>
        <v>0.1</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0.1</v>
      </c>
      <c r="K36" s="697">
        <v>0.1</v>
      </c>
      <c r="L36" s="551">
        <f t="shared" si="0"/>
        <v>0.1</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0.1</v>
      </c>
      <c r="K37" s="697">
        <v>0.1</v>
      </c>
      <c r="L37" s="551">
        <f t="shared" si="0"/>
        <v>0.1</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0.1</v>
      </c>
      <c r="K38" s="697">
        <v>0.1</v>
      </c>
      <c r="L38" s="551">
        <f t="shared" si="0"/>
        <v>0.1</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0</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0</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0</v>
      </c>
      <c r="K46" s="733">
        <v>0</v>
      </c>
      <c r="L46" s="551">
        <f t="shared" si="2"/>
        <v>0</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0</v>
      </c>
      <c r="K47" s="733">
        <v>0</v>
      </c>
      <c r="L47" s="551">
        <f t="shared" si="2"/>
        <v>0</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0</v>
      </c>
      <c r="K48" s="733">
        <v>0</v>
      </c>
      <c r="L48" s="551">
        <f t="shared" si="2"/>
        <v>0</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0</v>
      </c>
      <c r="K49" s="733">
        <v>0</v>
      </c>
      <c r="L49" s="551">
        <f t="shared" si="2"/>
        <v>0</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0</v>
      </c>
      <c r="K50" s="733">
        <v>0</v>
      </c>
      <c r="L50" s="551">
        <f t="shared" si="2"/>
        <v>0</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0</v>
      </c>
      <c r="K51" s="733">
        <v>0</v>
      </c>
      <c r="L51" s="551">
        <f t="shared" si="2"/>
        <v>0</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0</v>
      </c>
      <c r="K52" s="733">
        <v>0</v>
      </c>
      <c r="L52" s="551">
        <f t="shared" si="2"/>
        <v>0</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0</v>
      </c>
      <c r="K53" s="733">
        <v>0</v>
      </c>
      <c r="L53" s="551">
        <f t="shared" si="2"/>
        <v>0</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0</v>
      </c>
      <c r="K55" s="733">
        <f>L44</f>
        <v>0</v>
      </c>
      <c r="L55" s="551">
        <f t="shared" si="1"/>
        <v>0</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0</v>
      </c>
      <c r="K56" s="733">
        <f>L44</f>
        <v>0</v>
      </c>
      <c r="L56" s="551">
        <f t="shared" si="1"/>
        <v>0</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0</v>
      </c>
      <c r="K57" s="733">
        <f>L45</f>
        <v>0</v>
      </c>
      <c r="L57" s="551">
        <f t="shared" si="1"/>
        <v>0</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0</v>
      </c>
      <c r="K58" s="733">
        <f>L45</f>
        <v>0</v>
      </c>
      <c r="L58" s="551">
        <f t="shared" si="1"/>
        <v>0</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0</v>
      </c>
      <c r="K59" s="733">
        <f>L46</f>
        <v>0</v>
      </c>
      <c r="L59" s="551">
        <f t="shared" si="1"/>
        <v>0</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0</v>
      </c>
      <c r="K60" s="733">
        <f>L46</f>
        <v>0</v>
      </c>
      <c r="L60" s="551">
        <f t="shared" si="1"/>
        <v>0</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0</v>
      </c>
      <c r="K61" s="733">
        <f>L47</f>
        <v>0</v>
      </c>
      <c r="L61" s="551">
        <f t="shared" si="1"/>
        <v>0</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0</v>
      </c>
      <c r="K62" s="733">
        <f>L47</f>
        <v>0</v>
      </c>
      <c r="L62" s="551">
        <f t="shared" si="1"/>
        <v>0</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0</v>
      </c>
      <c r="K63" s="733">
        <f>L48</f>
        <v>0</v>
      </c>
      <c r="L63" s="551">
        <f t="shared" si="1"/>
        <v>0</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0</v>
      </c>
      <c r="K64" s="733">
        <f>L48</f>
        <v>0</v>
      </c>
      <c r="L64" s="551">
        <f t="shared" si="1"/>
        <v>0</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0</v>
      </c>
      <c r="K65" s="733">
        <f>L49</f>
        <v>0</v>
      </c>
      <c r="L65" s="551">
        <f t="shared" si="1"/>
        <v>0</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0</v>
      </c>
      <c r="K66" s="733">
        <f>L49</f>
        <v>0</v>
      </c>
      <c r="L66" s="551">
        <f t="shared" si="1"/>
        <v>0</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0</v>
      </c>
      <c r="K67" s="733">
        <f>L50</f>
        <v>0</v>
      </c>
      <c r="L67" s="551">
        <f t="shared" si="1"/>
        <v>0</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0</v>
      </c>
      <c r="K68" s="733">
        <f>L50</f>
        <v>0</v>
      </c>
      <c r="L68" s="551">
        <f t="shared" si="1"/>
        <v>0</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0</v>
      </c>
      <c r="K69" s="733">
        <f>L51</f>
        <v>0</v>
      </c>
      <c r="L69" s="551">
        <f t="shared" si="1"/>
        <v>0</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0</v>
      </c>
      <c r="K70" s="733">
        <f>L51</f>
        <v>0</v>
      </c>
      <c r="L70" s="551">
        <f t="shared" si="1"/>
        <v>0</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0</v>
      </c>
      <c r="K71" s="733">
        <f>L52</f>
        <v>0</v>
      </c>
      <c r="L71" s="551">
        <f t="shared" si="1"/>
        <v>0</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0</v>
      </c>
      <c r="K72" s="733">
        <f>L52</f>
        <v>0</v>
      </c>
      <c r="L72" s="551">
        <f t="shared" si="1"/>
        <v>0</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0</v>
      </c>
      <c r="K73" s="733">
        <f>L53</f>
        <v>0</v>
      </c>
      <c r="L73" s="551">
        <f t="shared" si="1"/>
        <v>0</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0</v>
      </c>
      <c r="K74" s="734">
        <f>L53</f>
        <v>0</v>
      </c>
      <c r="L74" s="552">
        <f t="shared" si="1"/>
        <v>0</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f>IF(HLOOKUP(CaseName,CaseData,MATCH($G78,cases!$G$3:$G$1259,0)-1,FALSE)="",IF(ISBLANK(VLOOKUP(ChemName,ChemData,MATCH(G78,substances!$3:$3,FALSE)-1,FALSE)),"",VLOOKUP(ChemName,ChemData,MATCH(G78,substances!$3:$3,FALSE)-1,FALSE)),HLOOKUP(CaseName,CaseData,MATCH($G78,cases!$G$3:$G$1259,0)-1,FALSE))</f>
        <v>0</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f>IF(HLOOKUP(CaseName,CaseData,MATCH($G79,cases!$G$3:$G$1259,0)-1,FALSE)="",IF(ISBLANK(VLOOKUP(ChemName,ChemData,MATCH(G79,substances!$3:$3,FALSE)-1,FALSE)),"",VLOOKUP(ChemName,ChemData,MATCH(G79,substances!$3:$3,FALSE)-1,FALSE)),HLOOKUP(CaseName,CaseData,MATCH($G79,cases!$G$3:$G$1259,0)-1,FALSE))</f>
        <v>0</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f>IF(HLOOKUP(CaseName,CaseData,MATCH($G80,cases!$G$3:$G$1259,0)-1,FALSE)="",IF(ISBLANK(VLOOKUP(ChemName,ChemData,MATCH(G80,substances!$3:$3,FALSE)-1,FALSE)),"",VLOOKUP(ChemName,ChemData,MATCH(G80,substances!$3:$3,FALSE)-1,FALSE)),HLOOKUP(CaseName,CaseData,MATCH($G80,cases!$G$3:$G$1259,0)-1,FALSE))</f>
        <v>0</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f>IF(HLOOKUP(CaseName,CaseData,MATCH($G81,cases!$G$3:$G$1259,0)-1,FALSE)="",IF(ISBLANK(VLOOKUP(ChemName,ChemData,MATCH(G81,substances!$3:$3,FALSE)-1,FALSE)),"",VLOOKUP(ChemName,ChemData,MATCH(G81,substances!$3:$3,FALSE)-1,FALSE)),HLOOKUP(CaseName,CaseData,MATCH($G81,cases!$G$3:$G$1259,0)-1,FALSE))</f>
        <v>0</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f>IF(HLOOKUP(CaseName,CaseData,MATCH($G82,cases!$G$3:$G$1259,0)-1,FALSE)="",IF(ISBLANK(VLOOKUP(ChemName,ChemData,MATCH(G82,substances!$3:$3,FALSE)-1,FALSE)),"",VLOOKUP(ChemName,ChemData,MATCH(G82,substances!$3:$3,FALSE)-1,FALSE)),HLOOKUP(CaseName,CaseData,MATCH($G82,cases!$G$3:$G$1259,0)-1,FALSE))</f>
        <v>0</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f>IF(HLOOKUP(CaseName,CaseData,MATCH($G83,cases!$G$3:$G$1259,0)-1,FALSE)="",IF(ISBLANK(VLOOKUP(ChemName,ChemData,MATCH(G83,substances!$3:$3,FALSE)-1,FALSE)),"",VLOOKUP(ChemName,ChemData,MATCH(G83,substances!$3:$3,FALSE)-1,FALSE)),HLOOKUP(CaseName,CaseData,MATCH($G83,cases!$G$3:$G$1259,0)-1,FALSE))</f>
        <v>0</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f>IF(HLOOKUP(CaseName,CaseData,MATCH($G84,cases!$G$3:$G$1259,0)-1,FALSE)="",IF(ISBLANK(VLOOKUP(ChemName,ChemData,MATCH(G84,substances!$3:$3,FALSE)-1,FALSE)),"",VLOOKUP(ChemName,ChemData,MATCH(G84,substances!$3:$3,FALSE)-1,FALSE)),HLOOKUP(CaseName,CaseData,MATCH($G84,cases!$G$3:$G$1259,0)-1,FALSE))</f>
        <v>0</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f>IF(HLOOKUP(CaseName,CaseData,MATCH($G85,cases!$G$3:$G$1259,0)-1,FALSE)="",IF(ISBLANK(VLOOKUP(ChemName,ChemData,MATCH(G85,substances!$3:$3,FALSE)-1,FALSE)),"",VLOOKUP(ChemName,ChemData,MATCH(G85,substances!$3:$3,FALSE)-1,FALSE)),HLOOKUP(CaseName,CaseData,MATCH($G85,cases!$G$3:$G$1259,0)-1,FALSE))</f>
        <v>0</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f>IF(HLOOKUP(CaseName,CaseData,MATCH($G86,cases!$G$3:$G$1259,0)-1,FALSE)="",IF(ISBLANK(VLOOKUP(ChemName,ChemData,MATCH(G86,substances!$3:$3,FALSE)-1,FALSE)),"",VLOOKUP(ChemName,ChemData,MATCH(G86,substances!$3:$3,FALSE)-1,FALSE)),HLOOKUP(CaseName,CaseData,MATCH($G86,cases!$G$3:$G$1259,0)-1,FALSE))</f>
        <v>0</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f>IF(HLOOKUP(CaseName,CaseData,MATCH($G87,cases!$G$3:$G$1259,0)-1,FALSE)="",IF(ISBLANK(VLOOKUP(ChemName,ChemData,MATCH(G87,substances!$3:$3,FALSE)-1,FALSE)),"",VLOOKUP(ChemName,ChemData,MATCH(G87,substances!$3:$3,FALSE)-1,FALSE)),HLOOKUP(CaseName,CaseData,MATCH($G87,cases!$G$3:$G$1259,0)-1,FALSE))</f>
        <v>0</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f>IF(HLOOKUP(CaseName,CaseData,MATCH($G88,cases!$G$3:$G$1259,0)-1,FALSE)="",IF(ISBLANK(VLOOKUP(ChemName,ChemData,MATCH(G88,substances!$3:$3,FALSE)-1,FALSE)),"",VLOOKUP(ChemName,ChemData,MATCH(G88,substances!$3:$3,FALSE)-1,FALSE)),HLOOKUP(CaseName,CaseData,MATCH($G88,cases!$G$3:$G$1259,0)-1,FALSE))</f>
        <v>0</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f>IF(HLOOKUP(CaseName,CaseData,MATCH($G89,cases!$G$3:$G$1259,0)-1,FALSE)="",IF(ISBLANK(VLOOKUP(ChemName,ChemData,MATCH(G89,substances!$3:$3,FALSE)-1,FALSE)),"",VLOOKUP(ChemName,ChemData,MATCH(G89,substances!$3:$3,FALSE)-1,FALSE)),HLOOKUP(CaseName,CaseData,MATCH($G89,cases!$G$3:$G$1259,0)-1,FALSE))</f>
        <v>0</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f>IF(HLOOKUP(CaseName,CaseData,MATCH($G90,cases!$G$3:$G$1259,0)-1,FALSE)="",IF(ISBLANK(VLOOKUP(ChemName,ChemData,MATCH(G90,substances!$3:$3,FALSE)-1,FALSE)),"",VLOOKUP(ChemName,ChemData,MATCH(G90,substances!$3:$3,FALSE)-1,FALSE)),HLOOKUP(CaseName,CaseData,MATCH($G90,cases!$G$3:$G$1259,0)-1,FALSE))</f>
        <v>0</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f>IF(HLOOKUP(CaseName,CaseData,MATCH($G91,cases!$G$3:$G$1259,0)-1,FALSE)="",IF(ISBLANK(VLOOKUP(ChemName,ChemData,MATCH(G91,substances!$3:$3,FALSE)-1,FALSE)),"",VLOOKUP(ChemName,ChemData,MATCH(G91,substances!$3:$3,FALSE)-1,FALSE)),HLOOKUP(CaseName,CaseData,MATCH($G91,cases!$G$3:$G$1259,0)-1,FALSE))</f>
        <v>0</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f>IF(HLOOKUP(CaseName,CaseData,MATCH($G92,cases!$G$3:$G$1259,0)-1,FALSE)="",IF(ISBLANK(VLOOKUP(ChemName,ChemData,MATCH(G92,substances!$3:$3,FALSE)-1,FALSE)),"",VLOOKUP(ChemName,ChemData,MATCH(G92,substances!$3:$3,FALSE)-1,FALSE)),HLOOKUP(CaseName,CaseData,MATCH($G92,cases!$G$3:$G$1259,0)-1,FALSE))</f>
        <v>0</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f>IF(HLOOKUP(CaseName,CaseData,MATCH($G93,cases!$G$3:$G$1259,0)-1,FALSE)="",IF(ISBLANK(VLOOKUP(ChemName,ChemData,MATCH(G93,substances!$3:$3,FALSE)-1,FALSE)),"",VLOOKUP(ChemName,ChemData,MATCH(G93,substances!$3:$3,FALSE)-1,FALSE)),HLOOKUP(CaseName,CaseData,MATCH($G93,cases!$G$3:$G$1259,0)-1,FALSE))</f>
        <v>0</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f>IF(HLOOKUP(CaseName,CaseData,MATCH($G94,cases!$G$3:$G$1259,0)-1,FALSE)="",IF(ISBLANK(VLOOKUP(ChemName,ChemData,MATCH(G94,substances!$3:$3,FALSE)-1,FALSE)),"",VLOOKUP(ChemName,ChemData,MATCH(G94,substances!$3:$3,FALSE)-1,FALSE)),HLOOKUP(CaseName,CaseData,MATCH($G94,cases!$G$3:$G$1259,0)-1,FALSE))</f>
        <v>0</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f>IF(HLOOKUP(CaseName,CaseData,MATCH($G95,cases!$G$3:$G$1259,0)-1,FALSE)="",IF(ISBLANK(VLOOKUP(ChemName,ChemData,MATCH(G95,substances!$3:$3,FALSE)-1,FALSE)),"",VLOOKUP(ChemName,ChemData,MATCH(G95,substances!$3:$3,FALSE)-1,FALSE)),HLOOKUP(CaseName,CaseData,MATCH($G95,cases!$G$3:$G$1259,0)-1,FALSE))</f>
        <v>0</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f>IF(HLOOKUP(CaseName,CaseData,MATCH($G96,cases!$G$3:$G$1259,0)-1,FALSE)="",IF(ISBLANK(VLOOKUP(ChemName,ChemData,MATCH(G96,substances!$3:$3,FALSE)-1,FALSE)),"",VLOOKUP(ChemName,ChemData,MATCH(G96,substances!$3:$3,FALSE)-1,FALSE)),HLOOKUP(CaseName,CaseData,MATCH($G96,cases!$G$3:$G$1259,0)-1,FALSE))</f>
        <v>0</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f>IF(HLOOKUP(CaseName,CaseData,MATCH($G97,cases!$G$3:$G$1259,0)-1,FALSE)="",IF(ISBLANK(VLOOKUP(ChemName,ChemData,MATCH(G97,substances!$3:$3,FALSE)-1,FALSE)),"",VLOOKUP(ChemName,ChemData,MATCH(G97,substances!$3:$3,FALSE)-1,FALSE)),HLOOKUP(CaseName,CaseData,MATCH($G97,cases!$G$3:$G$1259,0)-1,FALSE))</f>
        <v>0</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f>IF(HLOOKUP(CaseName,CaseData,MATCH($G98,cases!$G$3:$G$1259,0)-1,FALSE)="",IF(ISBLANK(VLOOKUP(ChemName,ChemData,MATCH(G98,substances!$3:$3,FALSE)-1,FALSE)),"",VLOOKUP(ChemName,ChemData,MATCH(G98,substances!$3:$3,FALSE)-1,FALSE)),HLOOKUP(CaseName,CaseData,MATCH($G98,cases!$G$3:$G$1259,0)-1,FALSE))</f>
        <v>0</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f>IF(HLOOKUP(CaseName,CaseData,MATCH($G99,cases!$G$3:$G$1259,0)-1,FALSE)="",IF(ISBLANK(VLOOKUP(ChemName,ChemData,MATCH(G99,substances!$3:$3,FALSE)-1,FALSE)),"",VLOOKUP(ChemName,ChemData,MATCH(G99,substances!$3:$3,FALSE)-1,FALSE)),HLOOKUP(CaseName,CaseData,MATCH($G99,cases!$G$3:$G$1259,0)-1,FALSE))</f>
        <v>0</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f>IF(HLOOKUP(CaseName,CaseData,MATCH($G100,cases!$G$3:$G$1259,0)-1,FALSE)="",IF(ISBLANK(VLOOKUP(ChemName,ChemData,MATCH(G100,substances!$3:$3,FALSE)-1,FALSE)),"",VLOOKUP(ChemName,ChemData,MATCH(G100,substances!$3:$3,FALSE)-1,FALSE)),HLOOKUP(CaseName,CaseData,MATCH($G100,cases!$G$3:$G$1259,0)-1,FALSE))</f>
        <v>0</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3.203009291289352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3.203009291289352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3.203009291289352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99</v>
      </c>
      <c r="K160" s="405">
        <f>MEDIAN(substances!F8)</f>
        <v>147</v>
      </c>
      <c r="L160" s="155">
        <f>IF(ISBLANK(I160),IF(ISNUMBER(J160)=FALSE,K160/1000,J160/1000),I160/1000)</f>
        <v>9.9000000000000005E-2</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46.804251494619756</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1E-13</v>
      </c>
      <c r="K217" s="405">
        <f>IF(biodeg="r",LN(2)/15*Q.10^(13/10),IF(biodeg="r-",LN(2)/50*Q.10^(13/10),IF(biodeg="i",LN(2)/150*Q.10^(13/10),1E-20)))/(3600*24)</f>
        <v>1.316920183599007E-7</v>
      </c>
      <c r="L217" s="155">
        <f t="shared" ref="L217:L222" si="15">IF(ISBLANK(I217), IF(ISNUMBER(J217)=FALSE, K217, J217), I217)</f>
        <v>1E-13</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9.9999999999999998E-17</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9.9999999999999998E-17</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1.0000000000000001E-15</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1.0000000000000001E-15</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1.0958516820678377E-5</v>
      </c>
      <c r="L324" s="423">
        <f t="shared" si="21"/>
        <v>1.0958516820678377E-5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1.1370704872299225E-9</v>
      </c>
      <c r="L325" s="423">
        <f t="shared" si="21"/>
        <v>1.1370704872299225E-9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v>9.9999999999999995E-21</v>
      </c>
      <c r="J372" s="850" t="str">
        <f>IF(HLOOKUP(CaseName,CaseData,MATCH($G372,cases!$G$3:$G$1259,0)-1,FALSE)="","",HLOOKUP(CaseName,CaseData,MATCH($G372,cases!$G$3:$G$1259,0)-1,FALSE))</f>
        <v/>
      </c>
      <c r="K372" s="865">
        <f>(2*(RhoS-Rho.w)*g*RadS^2)/(9*DYNVISC.w)</f>
        <v>-1.0353268183632739E-5</v>
      </c>
      <c r="L372" s="551">
        <f t="shared" ref="L372:L377" si="24">IF(ISBLANK(I372),IF(ISNUMBER(J372)=FALSE,K372,J372),I372)</f>
        <v>9.9999999999999995E-21</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9.5949701823059355E-17</v>
      </c>
      <c r="L373" s="298">
        <f t="shared" si="24"/>
        <v>9.5949701823059355E-17</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3.9147478343808215E-14</v>
      </c>
      <c r="L374" s="298">
        <f t="shared" si="24"/>
        <v>3.9147478343808215E-14</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5.0592041065635526E-4</v>
      </c>
      <c r="L375" s="298">
        <f t="shared" si="24"/>
        <v>5.0592041065635526E-4</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2.323943661971831E-2</v>
      </c>
      <c r="L376" s="298">
        <f t="shared" si="24"/>
        <v>2.323943661971831E-2</v>
      </c>
      <c r="M376" s="579" t="s">
        <v>315</v>
      </c>
      <c r="N376" s="432">
        <f>RadS</f>
        <v>2.8400000000000003E-6</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1.0265394366197182</v>
      </c>
      <c r="L377" s="298">
        <f t="shared" si="24"/>
        <v>1.0265394366197182</v>
      </c>
      <c r="M377" s="579" t="s">
        <v>315</v>
      </c>
      <c r="N377" s="432">
        <f>EXP(-0.999/KnudS)</f>
        <v>2.1422229243741518E-19</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4.1687483572597222E-12</v>
      </c>
      <c r="L379" s="298">
        <f>IF(ISBLANK(I379),IF(ISNUMBER(J379)=FALSE,K379,J379),I379)</f>
        <v>4.1687483572597222E-12</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7.3356887328933289E-14</v>
      </c>
      <c r="L380" s="298">
        <f>IF(ISBLANK(I380),IF(ISNUMBER(J380)=FALSE,K380,J380),I380)</f>
        <v>7.3356887328933289E-14</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4.1687483572597222E-12</v>
      </c>
      <c r="L382" s="298">
        <f>IF(ISBLANK(I382),IF(ISNUMBER(J382)=FALSE,K382,J382),I382)</f>
        <v>4.1687483572597222E-12</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7.3356887328933289E-14</v>
      </c>
      <c r="L383" s="298">
        <f>IF(ISBLANK(I383),IF(ISNUMBER(J383)=FALSE,K383,J383),I383)</f>
        <v>7.3356887328933289E-14</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4.1687483572597222E-12</v>
      </c>
      <c r="L385" s="298">
        <f t="shared" ref="L385:L390" si="25">IF(ISBLANK(I385),IF(ISNUMBER(J385)=FALSE,K385,J385),I385)</f>
        <v>4.1687483572597222E-12</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7.3356887328933289E-14</v>
      </c>
      <c r="L386" s="298">
        <f t="shared" si="25"/>
        <v>7.3356887328933289E-14</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3.8469502384537086E-12</v>
      </c>
      <c r="L387" s="298">
        <f t="shared" si="25"/>
        <v>3.8469502384537086E-12</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6.7694250412313871E-14</v>
      </c>
      <c r="L388" s="298">
        <f t="shared" si="25"/>
        <v>6.7694250412313871E-14</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4.3589017910996394E-12</v>
      </c>
      <c r="L389" s="298">
        <f t="shared" si="25"/>
        <v>4.3589017910996394E-12</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7.6702990961481135E-14</v>
      </c>
      <c r="L390" s="298">
        <f t="shared" si="25"/>
        <v>7.6702990961481135E-14</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69">
        <v>9.9999999999999995E-21</v>
      </c>
      <c r="J393" s="850" t="str">
        <f>IF(HLOOKUP(CaseName,CaseData,MATCH($G393,cases!$G$3:$G$1259,0)-1,FALSE)="","",HLOOKUP(CaseName,CaseData,MATCH($G393,cases!$G$3:$G$1259,0)-1,FALSE))</f>
        <v/>
      </c>
      <c r="K393" s="865">
        <f>(2*(RhoA.w-Rho.w)*g*RadA.w^2)/(9*DYNVISC.w)</f>
        <v>-1.0350169210505568E-5</v>
      </c>
      <c r="L393" s="298">
        <f t="shared" ref="L393:L402" si="26">IF(ISBLANK(I393),IF(ISNUMBER(J393)=FALSE,K393,J393),I393)</f>
        <v>9.9999999999999995E-21</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2.8401394744039195E-6</v>
      </c>
      <c r="L394" s="298">
        <f t="shared" si="26"/>
        <v>2.8401394744039195E-6</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408.23452969375961</v>
      </c>
      <c r="L395" s="298">
        <f t="shared" si="26"/>
        <v>408.23452969375961</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69"/>
      <c r="J396" s="850" t="str">
        <f>IF(HLOOKUP(CaseName,CaseData,MATCH($G396,cases!$G$3:$G$1259,0)-1,FALSE)="","",HLOOKUP(CaseName,CaseData,MATCH($G396,cases!$G$3:$G$1259,0)-1,FALSE))</f>
        <v/>
      </c>
      <c r="K396" s="865">
        <f>(2*(RhoP.w-Rho.w)*g*RadP.w^2)/(9*DYNVISC.w)</f>
        <v>1.5978356359197138E-5</v>
      </c>
      <c r="L396" s="298">
        <f t="shared" si="26"/>
        <v>1.5978356359197138E-5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3.6817288662892941E-6</v>
      </c>
      <c r="L397" s="551">
        <f t="shared" si="26"/>
        <v>3.6817288662892941E-6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1539.8009043506806</v>
      </c>
      <c r="L398" s="551">
        <f t="shared" si="26"/>
        <v>1539.8009043506806</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4.6408030787211822E-4</v>
      </c>
      <c r="L399" s="298">
        <f t="shared" si="26"/>
        <v>4.6408030787211822E-4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1.0262637241658883</v>
      </c>
      <c r="L400" s="298">
        <f t="shared" si="26"/>
        <v>1.0262637241658883</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2.8698138742217754E-6</v>
      </c>
      <c r="L401" s="551">
        <f t="shared" si="26"/>
        <v>2.8698138742217754E-6</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457.10315517837216</v>
      </c>
      <c r="L402" s="551">
        <f t="shared" si="26"/>
        <v>457.10315517837216</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80" priority="73" operator="equal">
      <formula>0</formula>
    </cfRule>
  </conditionalFormatting>
  <conditionalFormatting sqref="J5">
    <cfRule type="expression" dxfId="79" priority="12" stopIfTrue="1">
      <formula>HLOOKUP(CaseName,CaseData,ROW()-2,FALSE)&lt;&gt;""</formula>
    </cfRule>
  </conditionalFormatting>
  <conditionalFormatting sqref="J6">
    <cfRule type="expression" dxfId="78" priority="768" stopIfTrue="1">
      <formula>ISBLANK(HLOOKUP(CaseName,CaseData,ROW()+2,FALSE))</formula>
    </cfRule>
  </conditionalFormatting>
  <conditionalFormatting sqref="J7">
    <cfRule type="expression" dxfId="77" priority="806" stopIfTrue="1">
      <formula>HLOOKUP(CaseName,CaseData,ROW(),FALSE)&lt;&gt;""</formula>
    </cfRule>
    <cfRule type="expression" dxfId="76" priority="807" stopIfTrue="1">
      <formula>ISNUMBER(J7)</formula>
    </cfRule>
    <cfRule type="expression" dxfId="75" priority="812" stopIfTrue="1">
      <formula>HLOOKUP(CaseName,CaseData,ROW(),FALSE)&lt;&gt;""</formula>
    </cfRule>
    <cfRule type="expression" dxfId="74" priority="813" stopIfTrue="1">
      <formula>ISNUMBER(J7)</formula>
    </cfRule>
  </conditionalFormatting>
  <conditionalFormatting sqref="J8">
    <cfRule type="expression" dxfId="73" priority="10" stopIfTrue="1">
      <formula>HLOOKUP(CaseName,CaseData,ROW()-2,FALSE)&lt;&gt;""</formula>
    </cfRule>
  </conditionalFormatting>
  <conditionalFormatting sqref="J10">
    <cfRule type="expression" dxfId="72" priority="8" stopIfTrue="1">
      <formula>HLOOKUP(CaseName,CaseData,ROW()-2,FALSE)&lt;&gt;""</formula>
    </cfRule>
  </conditionalFormatting>
  <conditionalFormatting sqref="J14:J16">
    <cfRule type="expression" dxfId="71" priority="34" stopIfTrue="1">
      <formula>HLOOKUP(CaseName,CaseData,ROW()-2,FALSE)&lt;&gt;""</formula>
    </cfRule>
  </conditionalFormatting>
  <conditionalFormatting sqref="J21:J40">
    <cfRule type="expression" dxfId="70" priority="31" stopIfTrue="1">
      <formula>HLOOKUP(CaseName,CaseData,ROW()-2,FALSE)&lt;&gt;""</formula>
    </cfRule>
  </conditionalFormatting>
  <conditionalFormatting sqref="J44:J74 J129:J156 J159:J185 J213:J222 J226:J254 J259:J284 J287:J314 J317:J354 J357:J367 J372:J402">
    <cfRule type="expression" dxfId="69" priority="7" stopIfTrue="1">
      <formula>HLOOKUP(CaseName,CaseData,ROW()-2,FALSE)&lt;&gt;""</formula>
    </cfRule>
  </conditionalFormatting>
  <conditionalFormatting sqref="J78:J87">
    <cfRule type="expression" dxfId="68" priority="21" stopIfTrue="1">
      <formula>HLOOKUP(CaseName,CaseData,ROW()-1,FALSE)&lt;&gt;""</formula>
    </cfRule>
  </conditionalFormatting>
  <conditionalFormatting sqref="J78:J124">
    <cfRule type="expression" dxfId="67" priority="2" stopIfTrue="1">
      <formula>HLOOKUP(CaseName,CaseData,ROW()-2,FALSE)&lt;&gt;""</formula>
    </cfRule>
  </conditionalFormatting>
  <conditionalFormatting sqref="J126:J127">
    <cfRule type="expression" dxfId="66" priority="80" stopIfTrue="1">
      <formula>HLOOKUP(CaseName,CaseData,ROW()-2,FALSE)&lt;&gt;""</formula>
    </cfRule>
  </conditionalFormatting>
  <conditionalFormatting sqref="J127">
    <cfRule type="expression" dxfId="65" priority="319" stopIfTrue="1">
      <formula>HLOOKUP(ScenarioName,ScenarioData,ROW()-65,FALSE)&lt;&gt;""</formula>
    </cfRule>
  </conditionalFormatting>
  <conditionalFormatting sqref="J136 J144 J148 J152">
    <cfRule type="expression" dxfId="64" priority="148" stopIfTrue="1">
      <formula>HLOOKUP(ScenarioName,ScenarioData,ROW()-67,FALSE)&lt;&gt;""</formula>
    </cfRule>
  </conditionalFormatting>
  <conditionalFormatting sqref="J136:J152">
    <cfRule type="expression" dxfId="63" priority="49" stopIfTrue="1">
      <formula>HLOOKUP(CaseName,CaseData,ROW()-3,FALSE)&lt;&gt;""</formula>
    </cfRule>
  </conditionalFormatting>
  <conditionalFormatting sqref="J137:J143 J145:J147 J149:J151 J129:J135 J153:J155 J225">
    <cfRule type="expression" dxfId="62" priority="66" stopIfTrue="1">
      <formula>HLOOKUP(ScenarioName,ScenarioData,ROW()-111,FALSE)&lt;&gt;""</formula>
    </cfRule>
  </conditionalFormatting>
  <conditionalFormatting sqref="J162:J168">
    <cfRule type="expression" dxfId="61" priority="115">
      <formula>HLOOKUP(CaseName,CaseData,ROW()-2,FALSE)&lt;&gt;""</formula>
    </cfRule>
  </conditionalFormatting>
  <conditionalFormatting sqref="J170:J185">
    <cfRule type="expression" dxfId="60" priority="114">
      <formula>HLOOKUP(CaseName,CaseData,ROW()-2,FALSE)&lt;&gt;""</formula>
    </cfRule>
  </conditionalFormatting>
  <conditionalFormatting sqref="J190">
    <cfRule type="cellIs" dxfId="59" priority="1" operator="equal">
      <formula>0</formula>
    </cfRule>
  </conditionalFormatting>
  <conditionalFormatting sqref="J228:J254 J259:J314">
    <cfRule type="expression" dxfId="58" priority="65" stopIfTrue="1">
      <formula>HLOOKUP(ScenarioName,ScenarioData,ROW()-180,FALSE)&lt;&gt;""</formula>
    </cfRule>
  </conditionalFormatting>
  <conditionalFormatting sqref="J236:J242">
    <cfRule type="expression" dxfId="57" priority="61" stopIfTrue="1">
      <formula>HLOOKUP(CaseName,CaseData,ROW()-3,FALSE)&lt;&gt;""</formula>
    </cfRule>
  </conditionalFormatting>
  <conditionalFormatting sqref="J244:J246">
    <cfRule type="expression" dxfId="56" priority="57" stopIfTrue="1">
      <formula>HLOOKUP(CaseName,CaseData,ROW()-3,FALSE)&lt;&gt;""</formula>
    </cfRule>
  </conditionalFormatting>
  <conditionalFormatting sqref="J248:J250">
    <cfRule type="expression" dxfId="55" priority="55" stopIfTrue="1">
      <formula>HLOOKUP(CaseName,CaseData,ROW()-3,FALSE)&lt;&gt;""</formula>
    </cfRule>
  </conditionalFormatting>
  <conditionalFormatting sqref="J252:J254">
    <cfRule type="expression" dxfId="54" priority="53" stopIfTrue="1">
      <formula>HLOOKUP(CaseName,CaseData,ROW()-3,FALSE)&lt;&gt;""</formula>
    </cfRule>
  </conditionalFormatting>
  <conditionalFormatting sqref="J259:J284">
    <cfRule type="expression" dxfId="53" priority="45" stopIfTrue="1">
      <formula>HLOOKUP(CaseName,CaseData,ROW()-3,FALSE)&lt;&gt;""</formula>
    </cfRule>
  </conditionalFormatting>
  <conditionalFormatting sqref="J287:J314">
    <cfRule type="expression" dxfId="52" priority="43" stopIfTrue="1">
      <formula>HLOOKUP(CaseName,CaseData,ROW()-3,FALSE)&lt;&gt;""</formula>
    </cfRule>
  </conditionalFormatting>
  <conditionalFormatting sqref="J370">
    <cfRule type="expression" dxfId="50" priority="90" stopIfTrue="1">
      <formula>HLOOKUP(CaseName,CaseData,ROW()-2,FALSE)&lt;&gt;""</formula>
    </cfRule>
  </conditionalFormatting>
  <conditionalFormatting sqref="Q275:Q277">
    <cfRule type="cellIs" dxfId="49" priority="17" stopIfTrue="1" operator="greaterThanOrEqual">
      <formula>0.0000000001</formula>
    </cfRule>
  </conditionalFormatting>
  <dataValidations disablePrompts="1"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214" transitionEvaluation="1" transitionEntry="1" codeName="Sheet2"/>
  <dimension ref="A1:S584"/>
  <sheetViews>
    <sheetView topLeftCell="A214" zoomScaleNormal="100" workbookViewId="0">
      <selection activeCell="K261" sqref="K261"/>
    </sheetView>
  </sheetViews>
  <sheetFormatPr defaultColWidth="10.6640625" defaultRowHeight="12.75" customHeight="1" x14ac:dyDescent="0.3"/>
  <cols>
    <col min="1" max="5" width="1.6640625" customWidth="1" collapsed="1"/>
    <col min="6" max="6" width="52.44140625" customWidth="1" collapsed="1"/>
    <col min="7" max="7" width="20.44140625" style="172" bestFit="1" customWidth="1" collapsed="1"/>
    <col min="8" max="8" width="10.6640625" style="172" customWidth="1" collapsed="1"/>
    <col min="9" max="9" width="9.109375" style="612" customWidth="1" collapsed="1"/>
    <col min="10" max="10" width="9.109375" style="273" customWidth="1" collapsed="1"/>
    <col min="11" max="11" width="10.109375" style="335" customWidth="1" collapsed="1"/>
    <col min="12" max="12" width="9.5546875" style="332" customWidth="1" collapsed="1"/>
    <col min="13" max="13" width="9.109375" customWidth="1" collapsed="1"/>
    <col min="14" max="14" width="24.5546875" customWidth="1" collapsed="1"/>
    <col min="15" max="15" width="34" style="20" customWidth="1" collapsed="1"/>
    <col min="16" max="16" width="20.44140625" style="26" bestFit="1" customWidth="1" collapsed="1"/>
    <col min="17" max="17" width="11.44140625" style="26" bestFit="1" customWidth="1" collapsed="1"/>
    <col min="18" max="18" width="10.6640625" style="26" collapsed="1"/>
    <col min="19" max="19" width="10.6640625" style="26"/>
    <col min="20" max="20" width="19.5546875" style="26" customWidth="1" collapsed="1"/>
    <col min="21" max="16384" width="10.664062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35">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35">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35">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1.7089774649087998E-8</v>
      </c>
      <c r="L109" s="298">
        <f t="shared" ref="L109:L124" si="5">IF(ISBLANK(I109),IF(ISNUMBER(J109)=FALSE,K109,J109),I109)</f>
        <v>1.7089774649087998E-8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1.8798752113996797E-7</v>
      </c>
      <c r="L110" s="298">
        <f t="shared" si="5"/>
        <v>1.8798752113996797E-7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2.9907292556482506E-8</v>
      </c>
      <c r="L111" s="298">
        <f t="shared" si="5"/>
        <v>2.9907292556482506E-8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1.8456956621010448E-6</v>
      </c>
      <c r="L112" s="298">
        <f t="shared" si="5"/>
        <v>1.8456956621010448E-6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4.101545915780099E-6</v>
      </c>
      <c r="L113" s="298">
        <f t="shared" si="5"/>
        <v>4.101545915780099E-6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6.8359098596334986E-7</v>
      </c>
      <c r="L114" s="298">
        <f t="shared" si="5"/>
        <v>6.8359098596334986E-7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5.7489622373400747E-28</v>
      </c>
      <c r="L115" s="298">
        <f t="shared" si="5"/>
        <v>5.7489622373400747E-28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1.9135468517962959E-26</v>
      </c>
      <c r="L116" s="298">
        <f t="shared" si="5"/>
        <v>1.9135468517962959E-26</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5.7463770656568837E-27</v>
      </c>
      <c r="L117" s="298">
        <f t="shared" si="5"/>
        <v>5.7463770656568837E-27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9.9730720028708376E-27</v>
      </c>
      <c r="L118" s="298">
        <f t="shared" si="5"/>
        <v>9.9730720028708376E-27</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4.5382886401294102E-27</v>
      </c>
      <c r="L119" s="298">
        <f t="shared" si="5"/>
        <v>4.5382886401294102E-27</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9.9730720028708376E-27</v>
      </c>
      <c r="L120" s="298">
        <f t="shared" si="5"/>
        <v>9.9730720028708376E-27</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6.8658171521895295E-6</v>
      </c>
      <c r="L121" s="298">
        <f t="shared" si="5"/>
        <v>6.8658171521895295E-6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1.6285959891839168E-5</v>
      </c>
      <c r="L122" s="298">
        <f t="shared" si="5"/>
        <v>1.6285959891839168E-5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1.0420142739649216E-5</v>
      </c>
      <c r="L123" s="298">
        <f t="shared" si="5"/>
        <v>1.0420142739649216E-5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2.1519941708939369E-15</v>
      </c>
      <c r="L132" s="298">
        <f t="shared" si="6"/>
        <v>2.1519941708939369E-15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4.4348729799641328E-16</v>
      </c>
      <c r="L133" s="298">
        <f t="shared" si="6"/>
        <v>4.4348729799641328E-16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5.7489622373400747E-26</v>
      </c>
      <c r="L134" s="298">
        <f t="shared" si="6"/>
        <v>5.7489622373400747E-26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5.7406405553888873E-26</v>
      </c>
      <c r="L135" s="298">
        <f t="shared" si="6"/>
        <v>5.7406405553888873E-26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5.746377065656884E-26</v>
      </c>
      <c r="L136" s="298">
        <f t="shared" si="6"/>
        <v>5.746377065656884E-26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5.0841810602709056E-3</v>
      </c>
      <c r="L137" s="298">
        <f t="shared" si="6"/>
        <v>5.0841810602709056E-3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5.7304969829151961E-6</v>
      </c>
      <c r="L138" s="298">
        <f t="shared" si="6"/>
        <v>5.7304969829151961E-6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4.9865360014354193E-28</v>
      </c>
      <c r="L139" s="298">
        <f t="shared" si="6"/>
        <v>4.9865360014354193E-28</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9.0765772802588208E-28</v>
      </c>
      <c r="L140" s="298">
        <f t="shared" si="6"/>
        <v>9.0765772802588208E-28</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4.9865360014354193E-28</v>
      </c>
      <c r="L141" s="298">
        <f t="shared" si="6"/>
        <v>4.9865360014354193E-28</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4.0612619817811778E-17</v>
      </c>
      <c r="L143" s="298">
        <f t="shared" si="6"/>
        <v>4.0612619817811778E-17</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4.0601657370321781E-14</v>
      </c>
      <c r="L195" s="298">
        <f t="shared" si="11"/>
        <v>4.0601657370321781E-14</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4.0542886053799236E-14</v>
      </c>
      <c r="L196" s="298">
        <f t="shared" si="11"/>
        <v>4.0542886053799236E-14</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4.0583399769977389E-14</v>
      </c>
      <c r="L197" s="298">
        <f t="shared" si="11"/>
        <v>4.0583399769977389E-14</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2.8953682969968596E-9</v>
      </c>
      <c r="L198" s="298">
        <f t="shared" si="11"/>
        <v>2.8953682969968596E-9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2.8953682969968596E-9</v>
      </c>
      <c r="L199" s="298">
        <f t="shared" si="11"/>
        <v>2.8953682969968596E-9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9.1429328219912334E-10</v>
      </c>
      <c r="L200" s="298">
        <f t="shared" si="11"/>
        <v>9.1429328219912334E-10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3.1466381043321187E-11</v>
      </c>
      <c r="L201" s="298">
        <f t="shared" si="11"/>
        <v>3.1466381043321187E-11</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1.4319131236762863E-11</v>
      </c>
      <c r="L202" s="298">
        <f t="shared" si="11"/>
        <v>1.4319131236762863E-11</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3.1466381043321187E-11</v>
      </c>
      <c r="L203" s="298">
        <f t="shared" si="11"/>
        <v>3.1466381043321187E-11</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4.0601657370321781E-14</v>
      </c>
      <c r="L208" s="298">
        <f t="shared" si="11"/>
        <v>4.0601657370321781E-14</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4.0542886053799236E-14</v>
      </c>
      <c r="L209" s="298">
        <f t="shared" si="11"/>
        <v>4.0542886053799236E-14</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4.0583399769977389E-14</v>
      </c>
      <c r="L210" s="298">
        <f t="shared" si="11"/>
        <v>4.0583399769977389E-14</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4.0612619817811771E-17</v>
      </c>
      <c r="L215" s="298">
        <f t="shared" si="11"/>
        <v>4.0612619817811771E-17</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4.0612619817811771E-17</v>
      </c>
      <c r="L216" s="298">
        <f t="shared" si="11"/>
        <v>4.0612619817811771E-17</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4.0612619817811771E-17</v>
      </c>
      <c r="L217" s="298">
        <f t="shared" si="11"/>
        <v>4.0612619817811771E-17</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4.0612619817811775E-16</v>
      </c>
      <c r="L218" s="298">
        <f t="shared" si="11"/>
        <v>4.0612619817811775E-16</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4.0612619817811775E-16</v>
      </c>
      <c r="L219" s="298">
        <f t="shared" si="11"/>
        <v>4.0612619817811775E-16</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4.0612619817811775E-16</v>
      </c>
      <c r="L220" s="298">
        <f t="shared" si="11"/>
        <v>4.0612619817811775E-16</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1.5797647583020533E-3</v>
      </c>
      <c r="L231" s="298">
        <f t="shared" ref="L231:L243" si="12">IF(ISBLANK(I231),IF(ISNUMBER(J231)=FALSE,K231,J231),I231)</f>
        <v>1.5797647583020533E-3</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1.525978589773635E-3</v>
      </c>
      <c r="L232" s="298">
        <f t="shared" si="12"/>
        <v>1.525978589773635E-3</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0.98622344206725954</v>
      </c>
      <c r="L233" s="298">
        <f t="shared" si="12"/>
        <v>0.98622344206725954</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5.3786168528418363E-5</v>
      </c>
      <c r="L236" s="298">
        <f t="shared" si="12"/>
        <v>5.3786168528418363E-5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0.99102190689887071</v>
      </c>
      <c r="L239" s="298">
        <f t="shared" si="12"/>
        <v>0.99102190689887071</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2.5106717516252995E-10</v>
      </c>
      <c r="L240" s="298">
        <f t="shared" si="12"/>
        <v>2.5106717516252995E-10</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0.98617120114187962</v>
      </c>
      <c r="L243" s="298">
        <f t="shared" si="12"/>
        <v>0.98617120114187962</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3.2524372615138172E-4</v>
      </c>
      <c r="L245" s="551">
        <f t="shared" ref="L245:L261" si="13">IF(ISBLANK(I245),IF(ISNUMBER(J245)=FALSE,K245,J245),I245)</f>
        <v>3.2524372615138172E-4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9.1960497063301632E-17</v>
      </c>
      <c r="L247" s="551">
        <f t="shared" si="13"/>
        <v>9.1960497063301632E-17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3.5641198666666674E-17</v>
      </c>
      <c r="L248" s="1008">
        <f t="shared" si="13"/>
        <v>3.5641198666666674E-17</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1.2804684206295972E-2</v>
      </c>
      <c r="L250" s="298">
        <f t="shared" si="13"/>
        <v>1.2804684206295972E-2</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3.6204391650633016E-15</v>
      </c>
      <c r="L252" s="298">
        <f t="shared" si="13"/>
        <v>3.6204391650633016E-15</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3.5641198666666667E-15</v>
      </c>
      <c r="L253" s="298">
        <f t="shared" si="13"/>
        <v>3.5641198666666667E-15</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1.4597383152554355E-2</v>
      </c>
      <c r="L255" s="298">
        <f t="shared" si="13"/>
        <v>1.4597383152554355E-2</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4.1273128506330167E-16</v>
      </c>
      <c r="L257" s="298">
        <f t="shared" si="13"/>
        <v>4.1273128506330167E-16</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3.5641198666666671E-16</v>
      </c>
      <c r="L258" s="298">
        <f t="shared" si="13"/>
        <v>3.5641198666666671E-16</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5.4941672617375569E-17</v>
      </c>
      <c r="L260" s="1008">
        <f t="shared" si="13"/>
        <v>5.4941672617375569E-17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1.3776257792593853E-18</v>
      </c>
      <c r="L261" s="990">
        <f t="shared" si="13"/>
        <v>1.3776257792593853E-18</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6.0607169515373884E-7</v>
      </c>
      <c r="L263" s="298">
        <f t="shared" ref="L263:L276" si="14">IF(ISBLANK(I263),IF(ISNUMBER(J263)=FALSE,K263,J263),I263)</f>
        <v>6.0607169515373884E-7</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3.4272546930786576E-15</v>
      </c>
      <c r="L265" s="298">
        <f t="shared" si="14"/>
        <v>3.4272546930786576E-15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2.6556893866666665E-16</v>
      </c>
      <c r="L266" s="298">
        <f t="shared" si="14"/>
        <v>2.6556893866666665E-16</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1.5766196161215779E-4</v>
      </c>
      <c r="L267" s="298">
        <f t="shared" si="14"/>
        <v>1.5766196161215779E-4</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2.9718579621078656E-14</v>
      </c>
      <c r="L269" s="298">
        <f t="shared" si="14"/>
        <v>2.9718579621078656E-14</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2.6556893866666664E-14</v>
      </c>
      <c r="L270" s="298">
        <f t="shared" si="14"/>
        <v>2.6556893866666664E-14</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1.0287377883584224E-4</v>
      </c>
      <c r="L271" s="298">
        <f t="shared" si="14"/>
        <v>1.0287377883584224E-4</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5.8173751410786568E-15</v>
      </c>
      <c r="L273" s="298">
        <f t="shared" si="14"/>
        <v>5.8173751410786568E-15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2.6556893866666664E-15</v>
      </c>
      <c r="L274" s="298">
        <f t="shared" si="14"/>
        <v>2.6556893866666664E-15</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1.0479853187431706E-17</v>
      </c>
      <c r="L275" s="298">
        <f t="shared" si="14"/>
        <v>1.0479853187431706E-17</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3.1512059012245592E-15</v>
      </c>
      <c r="L276" s="298">
        <f t="shared" si="14"/>
        <v>3.1512059012245592E-15</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3.9837754361297364E-4</v>
      </c>
      <c r="L278" s="298">
        <f t="shared" ref="L278:L285" si="15">IF(ISBLANK(I278),IF(ISNUMBER(J278)=FALSE,K278,J278),I278)</f>
        <v>3.9837754361297364E-4</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3.9837754361297364E-4</v>
      </c>
      <c r="L280" s="298">
        <f t="shared" si="15"/>
        <v>3.9837754361297364E-4</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3.9837754361297367E-3</v>
      </c>
      <c r="L282" s="298">
        <f t="shared" si="15"/>
        <v>3.9837754361297367E-3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5.4941672617375569E-17</v>
      </c>
      <c r="L284" s="551">
        <f t="shared" si="15"/>
        <v>5.4941672617375569E-17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1.3776257792593853E-18</v>
      </c>
      <c r="L285" s="298">
        <f t="shared" si="15"/>
        <v>1.3776257792593853E-18</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9.2722385890694223E-4</v>
      </c>
      <c r="L287" s="298">
        <f t="shared" ref="L287:L302" si="16">IF(ISBLANK(I287),IF(ISNUMBER(J287)=FALSE,K287,J287),I287)</f>
        <v>9.2722385890694223E-4</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9.2722385890694223E-4</v>
      </c>
      <c r="L288" s="298">
        <f t="shared" si="16"/>
        <v>9.2722385890694223E-4</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9.2722385890694221E-3</v>
      </c>
      <c r="L289" s="298">
        <f t="shared" si="16"/>
        <v>9.2722385890694221E-3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0.70331646779311785</v>
      </c>
      <c r="L292" s="298">
        <f t="shared" si="16"/>
        <v>0.70331646779311785</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3.7166886686086278E-3</v>
      </c>
      <c r="L293" s="298">
        <f t="shared" si="16"/>
        <v>3.7166886686086278E-3</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5.0524657406425956E-4</v>
      </c>
      <c r="L297" s="298">
        <f t="shared" si="16"/>
        <v>5.0524657406425956E-4</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0.69909453255044496</v>
      </c>
      <c r="L298" s="298">
        <f t="shared" si="16"/>
        <v>0.69909453255044496</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2.2187500000000002E-2</v>
      </c>
      <c r="L300" s="298">
        <f t="shared" si="16"/>
        <v>2.2187500000000002E-2</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31408.093825857581</v>
      </c>
      <c r="L301" s="298">
        <f t="shared" si="16"/>
        <v>31408.093825857581</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1.1503631315147487</v>
      </c>
      <c r="L302" s="298">
        <f t="shared" si="16"/>
        <v>1.1503631315147487</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1.9918877180648688E-2</v>
      </c>
      <c r="L304" s="298">
        <f t="shared" ref="L304:L309" si="17">IF(ISBLANK(I304),IF(ISNUMBER(J304)=FALSE,K304,J304),I304)</f>
        <v>1.9918877180648688E-2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1.9918877180648688E-2</v>
      </c>
      <c r="L305" s="298">
        <f t="shared" si="17"/>
        <v>1.9918877180648688E-2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1.9918877180648688E-2</v>
      </c>
      <c r="L306" s="298">
        <f t="shared" si="17"/>
        <v>1.9918877180648688E-2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5.4941672617375569E-17</v>
      </c>
      <c r="L308" s="298">
        <f t="shared" si="17"/>
        <v>5.4941672617375569E-17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1.3776257792593853E-18</v>
      </c>
      <c r="L309" s="298">
        <f t="shared" si="17"/>
        <v>1.3776257792593853E-18</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5.5916393528730162E-3</v>
      </c>
      <c r="L311" s="298">
        <f t="shared" ref="L311:L324" si="18">IF(ISBLANK(I311),IF(ISNUMBER(J311)=FALSE,K311,J311),I311)</f>
        <v>5.5916393528730162E-3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0.70689366633851425</v>
      </c>
      <c r="L314" s="298">
        <f t="shared" si="18"/>
        <v>0.70689366633851425</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7.293887214005014E-3</v>
      </c>
      <c r="L315" s="298">
        <f t="shared" si="18"/>
        <v>7.293887214005014E-3</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5.0524657406425956E-4</v>
      </c>
      <c r="L319" s="298">
        <f t="shared" si="18"/>
        <v>5.0524657406425956E-4</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0.69909453255044496</v>
      </c>
      <c r="L320" s="298">
        <f t="shared" si="18"/>
        <v>0.69909453255044496</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2.2187500000000002E-2</v>
      </c>
      <c r="L322" s="298">
        <f t="shared" si="18"/>
        <v>2.2187500000000002E-2</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31408.093825857581</v>
      </c>
      <c r="L323" s="298">
        <f t="shared" si="18"/>
        <v>31408.093825857581</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1.1503631315147487</v>
      </c>
      <c r="L324" s="298">
        <f t="shared" si="18"/>
        <v>1.1503631315147487</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5.5916393528730162E-3</v>
      </c>
      <c r="L325" s="298">
        <f>IF(ISBLANK(I330),IF(ISNUMBER(J325)=FALSE,K325,J325),I330)</f>
        <v>5.5916393528730162E-3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0.70689366633851425</v>
      </c>
      <c r="L328" s="298">
        <f t="shared" si="19"/>
        <v>0.70689366633851425</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7.293887214005014E-3</v>
      </c>
      <c r="L329" s="298">
        <f t="shared" si="19"/>
        <v>7.293887214005014E-3</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5.0524657406425956E-4</v>
      </c>
      <c r="L333" s="298">
        <f t="shared" si="19"/>
        <v>5.0524657406425956E-4</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0.69909453255044496</v>
      </c>
      <c r="L334" s="298">
        <f t="shared" si="19"/>
        <v>0.69909453255044496</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2.2187500000000002E-2</v>
      </c>
      <c r="L335" s="298">
        <f t="shared" si="19"/>
        <v>2.2187500000000002E-2</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31408.093825857581</v>
      </c>
      <c r="L336" s="298">
        <f t="shared" si="19"/>
        <v>31408.093825857581</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1.1503631315147487</v>
      </c>
      <c r="L338" s="298">
        <f t="shared" si="19"/>
        <v>1.1503631315147487</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5.5916393528730162E-3</v>
      </c>
      <c r="L339" s="298">
        <f t="shared" si="19"/>
        <v>5.5916393528730162E-3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0.70689366633851425</v>
      </c>
      <c r="L342" s="298">
        <f t="shared" si="19"/>
        <v>0.70689366633851425</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7.293887214005014E-3</v>
      </c>
      <c r="L343" s="298">
        <f t="shared" si="19"/>
        <v>7.293887214005014E-3</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5.0524657406425956E-4</v>
      </c>
      <c r="L347" s="298">
        <f t="shared" si="19"/>
        <v>5.0524657406425956E-4</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0.69909453255044496</v>
      </c>
      <c r="L348" s="298">
        <f t="shared" si="19"/>
        <v>0.69909453255044496</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2.2187500000000002E-2</v>
      </c>
      <c r="L349" s="298">
        <f t="shared" si="19"/>
        <v>2.2187500000000002E-2</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31408.093825857581</v>
      </c>
      <c r="L350" s="298">
        <f t="shared" si="19"/>
        <v>31408.093825857581</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1.1503631315147487</v>
      </c>
      <c r="L352" s="298">
        <f t="shared" si="19"/>
        <v>1.1503631315147487</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2.8400038551638069E-6</v>
      </c>
      <c r="L364" s="298">
        <f t="shared" ref="L364:L395" si="21">IF(ISBLANK(I364),IF(ISNUMBER(J364)=FALSE,K364,J364),I364)</f>
        <v>2.8400038551638069E-6</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408.00646714232624</v>
      </c>
      <c r="L365" s="298">
        <f t="shared" si="21"/>
        <v>408.00646714232624</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9.5950092564945988E-17</v>
      </c>
      <c r="L366" s="298">
        <f t="shared" si="21"/>
        <v>9.5950092564945988E-17</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3.91482582894028E-14</v>
      </c>
      <c r="L367" s="298">
        <f t="shared" si="21"/>
        <v>3.91482582894028E-14</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3.6544774994182606E-5</v>
      </c>
      <c r="L368" s="712">
        <f t="shared" si="21"/>
        <v>3.6544774994182606E-5</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4.1349997110521795E-5</v>
      </c>
      <c r="L369" s="298">
        <f t="shared" si="21"/>
        <v>4.1349997110521795E-5</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0.92368669696135675</v>
      </c>
      <c r="L370" s="298">
        <f t="shared" si="21"/>
        <v>0.92368669696135675</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4.0564347165421885E-4</v>
      </c>
      <c r="L371" s="298">
        <f t="shared" si="21"/>
        <v>4.0564347165421885E-4</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3544351.6705321455</v>
      </c>
      <c r="L372" s="298">
        <f t="shared" si="21"/>
        <v>3544351.6705321455</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5.6514346376452031E-5</v>
      </c>
      <c r="L373" s="298">
        <f t="shared" si="21"/>
        <v>5.6514346376452031E-5</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7.5632326836711283E-2</v>
      </c>
      <c r="L374" s="298">
        <f t="shared" si="21"/>
        <v>7.5632326836711283E-2</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0.3328083960352009</v>
      </c>
      <c r="L375" s="298">
        <f t="shared" si="21"/>
        <v>0.3328083960352009</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0.40849723721828862</v>
      </c>
      <c r="L376" s="298">
        <f t="shared" si="21"/>
        <v>0.40849723721828862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3.6547979845976371E-5</v>
      </c>
      <c r="L377" s="298">
        <f t="shared" si="21"/>
        <v>3.6547979845976371E-5</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1.0265394005937547</v>
      </c>
      <c r="L378" s="298">
        <f t="shared" si="21"/>
        <v>1.0265394005937547</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4.1687425520911761E-12</v>
      </c>
      <c r="L379" s="298">
        <f t="shared" si="21"/>
        <v>4.1687425520911761E-12</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4.1350765328449014E-5</v>
      </c>
      <c r="L380" s="298">
        <f t="shared" si="21"/>
        <v>4.1350765328449014E-5</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0.92377146124910658</v>
      </c>
      <c r="L381" s="298">
        <f t="shared" si="21"/>
        <v>0.92377146124910658</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1.0141275196802123E-4</v>
      </c>
      <c r="L382" s="298">
        <f t="shared" si="21"/>
        <v>1.0141275196802123E-4</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3544356.6062072506</v>
      </c>
      <c r="L383" s="298">
        <f t="shared" si="21"/>
        <v>3544356.6062072506</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5.6514304804409659E-5</v>
      </c>
      <c r="L384" s="298">
        <f t="shared" si="21"/>
        <v>5.6514304804409659E-5</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7.5632447806440919E-2</v>
      </c>
      <c r="L385" s="298">
        <f t="shared" si="21"/>
        <v>7.5632447806440919E-2</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0.33284409891779754</v>
      </c>
      <c r="L386" s="298">
        <f t="shared" si="21"/>
        <v>0.33284409891779754</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0.40853306102904285</v>
      </c>
      <c r="L387" s="298">
        <f t="shared" si="21"/>
        <v>0.40853306102904285</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3.0254342524794702E-6</v>
      </c>
      <c r="L389" s="298">
        <f t="shared" si="21"/>
        <v>3.0254342524794702E-6</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1.125433221651896E-2</v>
      </c>
      <c r="L390" s="298">
        <f t="shared" si="21"/>
        <v>1.125433221651896E-2</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18.177038489868455</v>
      </c>
      <c r="L392" s="298">
        <f t="shared" si="21"/>
        <v>18.177038489868455</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4.3017199075296468E-5</v>
      </c>
      <c r="L394" s="298">
        <f t="shared" si="21"/>
        <v>4.3017199075296468E-5</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2.3409835870572904E-3</v>
      </c>
      <c r="L395" s="298">
        <f t="shared" si="21"/>
        <v>2.3409835870572904E-3</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0.28716580116155149</v>
      </c>
      <c r="L399" s="298">
        <f t="shared" si="22"/>
        <v>0.28716580116155149</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6.7231872277321539E-6</v>
      </c>
      <c r="L400" s="298">
        <f t="shared" si="22"/>
        <v>6.7231872277321539E-6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1.125433221651896E-2</v>
      </c>
      <c r="L401" s="298">
        <f t="shared" si="22"/>
        <v>1.125433221651896E-2</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18.177038489868455</v>
      </c>
      <c r="L403" s="298">
        <f t="shared" si="22"/>
        <v>18.177038489868455</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4.3017199075296468E-5</v>
      </c>
      <c r="L405" s="298">
        <f t="shared" si="22"/>
        <v>4.3017199075296468E-5</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2.3409835870572904E-3</v>
      </c>
      <c r="L406" s="298">
        <f t="shared" si="22"/>
        <v>2.3409835870572904E-3</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0.28716580116155149</v>
      </c>
      <c r="L410" s="298">
        <f t="shared" si="22"/>
        <v>0.28716580116155149</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1.1205312046220259E-6</v>
      </c>
      <c r="L411" s="298">
        <f t="shared" si="22"/>
        <v>1.1205312046220259E-6</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1.125433221651896E-2</v>
      </c>
      <c r="L412" s="298">
        <f t="shared" si="22"/>
        <v>1.125433221651896E-2</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18.177038489868455</v>
      </c>
      <c r="L414" s="298">
        <f t="shared" si="22"/>
        <v>18.177038489868455</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4.3017199075296468E-5</v>
      </c>
      <c r="L416" s="298">
        <f t="shared" si="22"/>
        <v>4.3017199075296468E-5</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2.3409835870572904E-3</v>
      </c>
      <c r="L417" s="298">
        <f t="shared" si="22"/>
        <v>2.3409835870572904E-3</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0.28716580116155149</v>
      </c>
      <c r="L421" s="298">
        <f t="shared" si="22"/>
        <v>0.28716580116155149</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2.9436983294536836E-6</v>
      </c>
      <c r="L422" s="298">
        <f t="shared" si="22"/>
        <v>2.9436983294536836E-6</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1.095028223394137E-2</v>
      </c>
      <c r="L423" s="298">
        <f t="shared" si="22"/>
        <v>1.095028223394137E-2</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18.17550286337352</v>
      </c>
      <c r="L424" s="298">
        <f t="shared" si="22"/>
        <v>18.17550286337352</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4.3017159139704681E-5</v>
      </c>
      <c r="L425" s="298">
        <f t="shared" si="22"/>
        <v>4.3017159139704681E-5</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2.3409865527405935E-3</v>
      </c>
      <c r="L426" s="298">
        <f t="shared" si="22"/>
        <v>2.3409865527405935E-3</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0.28719026195220365</v>
      </c>
      <c r="L427" s="298">
        <f t="shared" si="22"/>
        <v>0.28719026195220365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6.5415518432304058E-6</v>
      </c>
      <c r="L428" s="298">
        <f t="shared" ref="L428:L459" si="23">IF(ISBLANK(I428),IF(ISNUMBER(J428)=FALSE,K428,J428),I428)</f>
        <v>6.5415518432304058E-6</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1.095028223394137E-2</v>
      </c>
      <c r="L429" s="298">
        <f t="shared" si="23"/>
        <v>1.095028223394137E-2</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18.17550286337352</v>
      </c>
      <c r="L430" s="298">
        <f t="shared" si="23"/>
        <v>18.17550286337352</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4.3017159139704681E-5</v>
      </c>
      <c r="L431" s="298">
        <f t="shared" si="23"/>
        <v>4.3017159139704681E-5</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2.3409865527405935E-3</v>
      </c>
      <c r="L432" s="298">
        <f t="shared" si="23"/>
        <v>2.3409865527405935E-3</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0.28719026195220365</v>
      </c>
      <c r="L433" s="298">
        <f t="shared" si="23"/>
        <v>0.28719026195220365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1.0902586405384011E-6</v>
      </c>
      <c r="L434" s="298">
        <f t="shared" si="23"/>
        <v>1.0902586405384011E-6</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1.095028223394137E-2</v>
      </c>
      <c r="L435" s="298">
        <f t="shared" si="23"/>
        <v>1.095028223394137E-2</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18.17550286337352</v>
      </c>
      <c r="L436" s="298">
        <f t="shared" si="23"/>
        <v>18.17550286337352</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4.3017159139704681E-5</v>
      </c>
      <c r="L437" s="298">
        <f t="shared" si="23"/>
        <v>4.3017159139704681E-5</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2.3409865527405935E-3</v>
      </c>
      <c r="L438" s="298">
        <f t="shared" si="23"/>
        <v>2.3409865527405935E-3</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0.28719026195220365</v>
      </c>
      <c r="L439" s="298">
        <f t="shared" si="23"/>
        <v>0.28719026195220365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1.5202926344200006E-9</v>
      </c>
      <c r="L443" s="298">
        <f t="shared" si="23"/>
        <v>1.5202926344200006E-9</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6.1077739927326512E-4</v>
      </c>
      <c r="L444" s="298">
        <f t="shared" si="23"/>
        <v>6.1077739927326512E-4</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4800.8640052224691</v>
      </c>
      <c r="L446" s="298">
        <f t="shared" si="23"/>
        <v>4800.8640052224691</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5.3116762540522699E-4</v>
      </c>
      <c r="L448" s="298">
        <f t="shared" si="23"/>
        <v>5.3116762540522699E-4</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5.6512626857124922E-4</v>
      </c>
      <c r="L449" s="298">
        <f t="shared" si="23"/>
        <v>5.6512626857124922E-4</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1.6723218978620009E-8</v>
      </c>
      <c r="L450" s="298">
        <f t="shared" si="23"/>
        <v>1.6723218978620009E-8</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6.1077739927326512E-4</v>
      </c>
      <c r="L451" s="298">
        <f t="shared" si="23"/>
        <v>6.1077739927326512E-4</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2.6494856859317514E-9</v>
      </c>
      <c r="L453" s="298">
        <f t="shared" si="23"/>
        <v>2.6494856859317514E-9</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6.0824224644662282E-4</v>
      </c>
      <c r="L454" s="298">
        <f t="shared" si="23"/>
        <v>6.0824224644662282E-4</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7.6320642425443998E-10</v>
      </c>
      <c r="L456" s="298">
        <f t="shared" si="23"/>
        <v>7.6320642425443998E-10</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3.0661809730638694E-4</v>
      </c>
      <c r="L457" s="298">
        <f t="shared" si="23"/>
        <v>3.0661809730638694E-4</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4799.1674038563042</v>
      </c>
      <c r="L458" s="298">
        <f t="shared" si="23"/>
        <v>4799.1674038563042</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5.3116725556776013E-4</v>
      </c>
      <c r="L459" s="298">
        <f t="shared" si="23"/>
        <v>5.3116725556776013E-4</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5.6551420015885285E-4</v>
      </c>
      <c r="L460" s="298">
        <f t="shared" ref="L460:L491" si="24">IF(ISBLANK(I460),IF(ISNUMBER(J460)=FALSE,K460,J460),I460)</f>
        <v>5.6551420015885285E-4</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8.39527066679884E-9</v>
      </c>
      <c r="L461" s="298">
        <f t="shared" si="24"/>
        <v>8.39527066679884E-9</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3.0661809730638694E-4</v>
      </c>
      <c r="L462" s="298">
        <f t="shared" si="24"/>
        <v>3.0661809730638694E-4</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1.3245688943540977E-9</v>
      </c>
      <c r="L463" s="298">
        <f t="shared" si="24"/>
        <v>1.3245688943540977E-9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3.0408118985248556E-4</v>
      </c>
      <c r="L464" s="298">
        <f t="shared" si="24"/>
        <v>3.0408118985248556E-4</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9.9999999999999993E-23</v>
      </c>
      <c r="L486" s="712">
        <f t="shared" si="24"/>
        <v>9.9999999999999993E-23</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3.3333333333333333E-21</v>
      </c>
      <c r="L487" s="298">
        <f t="shared" si="24"/>
        <v>3.3333333333333333E-21</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9.9999999999999991E-22</v>
      </c>
      <c r="L488" s="298">
        <f t="shared" si="24"/>
        <v>9.9999999999999991E-22</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9.9999999999999993E-23</v>
      </c>
      <c r="L489" s="298">
        <f t="shared" si="24"/>
        <v>9.9999999999999993E-23</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3.3333333333333333E-21</v>
      </c>
      <c r="L490" s="298">
        <f t="shared" si="24"/>
        <v>3.3333333333333333E-21</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9.9999999999999991E-22</v>
      </c>
      <c r="L491" s="298">
        <f t="shared" si="24"/>
        <v>9.9999999999999991E-22</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1.5978356359197137E-7</v>
      </c>
      <c r="L492" s="298">
        <f t="shared" ref="L492:L521" si="25">IF(ISBLANK(I492),IF(ISNUMBER(J492)=FALSE,K492,J492),I492)</f>
        <v>1.5978356359197137E-7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5.3261187863990456E-6</v>
      </c>
      <c r="L493" s="298">
        <f t="shared" si="25"/>
        <v>5.3261187863990456E-6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1.5978356359197138E-6</v>
      </c>
      <c r="L494" s="298">
        <f t="shared" si="25"/>
        <v>1.5978356359197138E-6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8" priority="1" operator="equal">
      <formula>0</formula>
    </cfRule>
  </conditionalFormatting>
  <conditionalFormatting sqref="K130">
    <cfRule type="cellIs" dxfId="47" priority="4" operator="equal">
      <formula>0</formula>
    </cfRule>
  </conditionalFormatting>
  <conditionalFormatting sqref="Q231:Q243">
    <cfRule type="cellIs" dxfId="46"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469" transitionEvaluation="1" transitionEntry="1" codeName="Sheet3"/>
  <dimension ref="A1:U565"/>
  <sheetViews>
    <sheetView topLeftCell="A469" zoomScaleNormal="100" workbookViewId="0">
      <selection activeCell="I492" sqref="I492"/>
    </sheetView>
  </sheetViews>
  <sheetFormatPr defaultColWidth="10.6640625" defaultRowHeight="12.75" customHeight="1" x14ac:dyDescent="0.3"/>
  <cols>
    <col min="1" max="5" width="1.6640625" customWidth="1" collapsed="1"/>
    <col min="6" max="6" width="49.88671875" customWidth="1" collapsed="1"/>
    <col min="7" max="7" width="22.6640625" customWidth="1" collapsed="1"/>
    <col min="8" max="8" width="10.6640625" customWidth="1" collapsed="1"/>
    <col min="9" max="9" width="9.109375" style="28" customWidth="1" collapsed="1"/>
    <col min="10" max="10" width="9.109375" style="268" customWidth="1" collapsed="1"/>
    <col min="11" max="11" width="9.88671875" style="332" customWidth="1" collapsed="1"/>
    <col min="12" max="12" width="9.109375" style="332" customWidth="1" collapsed="1"/>
    <col min="13" max="13" width="9.109375" customWidth="1" collapsed="1"/>
    <col min="14" max="14" width="48.33203125" customWidth="1" collapsed="1"/>
    <col min="15" max="15" width="34.44140625" style="26" bestFit="1" customWidth="1" collapsed="1"/>
    <col min="16" max="16" width="35" style="26" bestFit="1" customWidth="1" collapsed="1"/>
    <col min="17" max="16384" width="10.664062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35">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35">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9.4383161237180241E-9</v>
      </c>
      <c r="L115" s="298">
        <f t="shared" ref="L115:L130" si="5">IF(ISBLANK(I115),IF(ISNUMBER(J115)=FALSE,K115,J115),I115)</f>
        <v>9.4383161237180241E-9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1.0382147736089826E-7</v>
      </c>
      <c r="L116" s="298">
        <f t="shared" si="5"/>
        <v>1.0382147736089826E-7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4.0217953178546055E-6</v>
      </c>
      <c r="L117" s="298">
        <f t="shared" si="5"/>
        <v>4.0217953178546055E-6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1.0193381413613236E-6</v>
      </c>
      <c r="L118" s="298">
        <f t="shared" si="5"/>
        <v>1.0193381413613236E-6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2.2651958696918299E-6</v>
      </c>
      <c r="L119" s="298">
        <f t="shared" si="5"/>
        <v>2.2651958696918299E-6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3.7753264494863823E-7</v>
      </c>
      <c r="L120" s="298">
        <f t="shared" si="5"/>
        <v>3.7753264494863823E-7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5.7489622373400747E-28</v>
      </c>
      <c r="L121" s="298">
        <f t="shared" si="5"/>
        <v>5.7489622373400747E-28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1.9135468517962959E-26</v>
      </c>
      <c r="L122" s="298">
        <f t="shared" si="5"/>
        <v>1.9135468517962959E-26</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2.8731885328284418E-28</v>
      </c>
      <c r="L123" s="298">
        <f t="shared" si="5"/>
        <v>2.8731885328284418E-28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9.9730720028708376E-27</v>
      </c>
      <c r="L124" s="298">
        <f t="shared" si="5"/>
        <v>9.9730720028708376E-27</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4.5382886401294102E-27</v>
      </c>
      <c r="L125" s="298">
        <f t="shared" si="5"/>
        <v>4.5382886401294102E-27</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9.9730720028708376E-27</v>
      </c>
      <c r="L126" s="298">
        <f t="shared" si="5"/>
        <v>9.9730720028708376E-27</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7.7971217673396637E-6</v>
      </c>
      <c r="L127" s="298">
        <f t="shared" si="5"/>
        <v>7.7971217673396637E-6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9.4792977309676081E-6</v>
      </c>
      <c r="L128" s="298">
        <f t="shared" si="5"/>
        <v>9.4792977309676081E-6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2.6821759636275215E-6</v>
      </c>
      <c r="L129" s="298">
        <f t="shared" si="5"/>
        <v>2.6821759636275215E-6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2.1519941708939369E-15</v>
      </c>
      <c r="L138" s="298">
        <f t="shared" si="6"/>
        <v>2.1519941708939369E-15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4.4348729799641328E-16</v>
      </c>
      <c r="L139" s="298">
        <f t="shared" si="6"/>
        <v>4.4348729799641328E-16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5.7489622373400747E-26</v>
      </c>
      <c r="L140" s="298">
        <f t="shared" si="6"/>
        <v>5.7489622373400747E-26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5.7406405553888873E-26</v>
      </c>
      <c r="L141" s="298">
        <f t="shared" si="6"/>
        <v>5.7406405553888873E-26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5.746377065656884E-26</v>
      </c>
      <c r="L142" s="298">
        <f t="shared" si="6"/>
        <v>5.746377065656884E-26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5.0841810602709056E-3</v>
      </c>
      <c r="L143" s="298">
        <f t="shared" si="6"/>
        <v>5.0841810602709056E-3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5.7304969829151961E-6</v>
      </c>
      <c r="L144" s="298">
        <f t="shared" si="6"/>
        <v>5.7304969829151961E-6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4.9865360014354193E-28</v>
      </c>
      <c r="L145" s="298">
        <f t="shared" si="6"/>
        <v>4.9865360014354193E-28</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9.0765772802588208E-28</v>
      </c>
      <c r="L146" s="298">
        <f t="shared" si="6"/>
        <v>9.0765772802588208E-28</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4.9865360014354193E-28</v>
      </c>
      <c r="L147" s="298">
        <f t="shared" si="6"/>
        <v>4.9865360014354193E-28</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4.0612619817811778E-17</v>
      </c>
      <c r="L149" s="298">
        <f t="shared" si="6"/>
        <v>4.0612619817811778E-17</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4.0601657370321781E-14</v>
      </c>
      <c r="L201" s="298">
        <f t="shared" si="10"/>
        <v>4.0601657370321781E-14</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4.0542886053799236E-14</v>
      </c>
      <c r="L202" s="298">
        <f t="shared" si="10"/>
        <v>4.0542886053799236E-14</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4.0583399769977389E-14</v>
      </c>
      <c r="L203" s="298">
        <f t="shared" si="10"/>
        <v>4.0583399769977389E-14</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2.874228435766179E-9</v>
      </c>
      <c r="L204" s="298">
        <f t="shared" si="10"/>
        <v>2.874228435766179E-9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2.874228435766179E-9</v>
      </c>
      <c r="L205" s="298">
        <f t="shared" si="10"/>
        <v>2.874228435766179E-9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9.1333337394595324E-10</v>
      </c>
      <c r="L206" s="298">
        <f t="shared" si="10"/>
        <v>9.1333337394595324E-10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3.1466381043321187E-11</v>
      </c>
      <c r="L207" s="298">
        <f t="shared" si="10"/>
        <v>3.1466381043321187E-11</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1.4319131236762863E-11</v>
      </c>
      <c r="L208" s="298">
        <f t="shared" si="10"/>
        <v>1.4319131236762863E-11</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3.1466381043321187E-11</v>
      </c>
      <c r="L209" s="298">
        <f t="shared" si="10"/>
        <v>3.1466381043321187E-11</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4.0601657370321781E-14</v>
      </c>
      <c r="L214" s="298">
        <f t="shared" si="10"/>
        <v>4.0601657370321781E-14</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4.0542886053799236E-14</v>
      </c>
      <c r="L215" s="298">
        <f t="shared" si="10"/>
        <v>4.0542886053799236E-14</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4.0583399769977389E-14</v>
      </c>
      <c r="L216" s="298">
        <f t="shared" si="10"/>
        <v>4.0583399769977389E-14</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4.0612619817811771E-17</v>
      </c>
      <c r="L221" s="298">
        <f t="shared" si="10"/>
        <v>4.0612619817811771E-17</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4.0612619817811771E-17</v>
      </c>
      <c r="L222" s="298">
        <f t="shared" si="10"/>
        <v>4.0612619817811771E-17</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4.0612619817811771E-17</v>
      </c>
      <c r="L223" s="298">
        <f t="shared" si="10"/>
        <v>4.0612619817811771E-17</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4.0612619817811775E-16</v>
      </c>
      <c r="L224" s="298">
        <f t="shared" si="10"/>
        <v>4.0612619817811775E-16</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4.0612619817811775E-16</v>
      </c>
      <c r="L225" s="298">
        <f t="shared" si="10"/>
        <v>4.0612619817811775E-16</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4.0612619817811775E-16</v>
      </c>
      <c r="L226" s="298">
        <f t="shared" si="10"/>
        <v>4.0612619817811775E-16</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1.5797647583020533E-3</v>
      </c>
      <c r="L237" s="298">
        <f t="shared" ref="L237:L249" si="11">IF(ISBLANK(I237),IF(ISNUMBER(J237)=FALSE,K237,J237),I237)</f>
        <v>1.5797647583020533E-3</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1.525978589773635E-3</v>
      </c>
      <c r="L238" s="298">
        <f t="shared" si="11"/>
        <v>1.525978589773635E-3</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0.98622344206725954</v>
      </c>
      <c r="L241" s="298">
        <f t="shared" si="11"/>
        <v>0.98622344206725954</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5.3786168528418363E-5</v>
      </c>
      <c r="L242" s="298">
        <f t="shared" si="11"/>
        <v>5.3786168528418363E-5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0.99102190689887071</v>
      </c>
      <c r="L245" s="298">
        <f t="shared" si="11"/>
        <v>0.99102190689887071</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2.5106717516252995E-10</v>
      </c>
      <c r="L246" s="298">
        <f t="shared" si="11"/>
        <v>2.5106717516252995E-10</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0.98617120114187962</v>
      </c>
      <c r="L249" s="298">
        <f t="shared" si="11"/>
        <v>0.98617120114187962</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3.2524372615138172E-4</v>
      </c>
      <c r="L251" s="551">
        <f t="shared" ref="L251:L267" si="12">IF(ISBLANK(I251),IF(ISNUMBER(J251)=FALSE,K251,J251),I251)</f>
        <v>3.2524372615138172E-4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9.1960497063301632E-17</v>
      </c>
      <c r="L253" s="551">
        <f t="shared" si="12"/>
        <v>9.1960497063301632E-17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3.5641198666666674E-17</v>
      </c>
      <c r="L254" s="551">
        <f t="shared" si="12"/>
        <v>3.5641198666666674E-17</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1.2804684206295972E-2</v>
      </c>
      <c r="L256" s="298">
        <f t="shared" si="12"/>
        <v>1.2804684206295972E-2</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3.6204391650633016E-15</v>
      </c>
      <c r="L258" s="298">
        <f t="shared" si="12"/>
        <v>3.6204391650633016E-15</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3.5641198666666667E-15</v>
      </c>
      <c r="L259" s="298">
        <f t="shared" si="12"/>
        <v>3.5641198666666667E-15</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1.4597383152554355E-2</v>
      </c>
      <c r="L261" s="298">
        <f t="shared" si="12"/>
        <v>1.4597383152554355E-2</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4.1273128506330167E-16</v>
      </c>
      <c r="L263" s="298">
        <f t="shared" si="12"/>
        <v>4.1273128506330167E-16</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3.5641198666666671E-16</v>
      </c>
      <c r="L264" s="298">
        <f t="shared" si="12"/>
        <v>3.5641198666666671E-16</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5.4941672617375569E-17</v>
      </c>
      <c r="L266" s="551">
        <f t="shared" si="12"/>
        <v>5.4941672617375569E-17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1.3776257792593853E-18</v>
      </c>
      <c r="L267" s="298">
        <f t="shared" si="12"/>
        <v>1.3776257792593853E-18</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6.0607169515373884E-7</v>
      </c>
      <c r="L269" s="298">
        <f t="shared" ref="L269:L282" si="13">IF(ISBLANK(I269),IF(ISNUMBER(J269)=FALSE,K269,J269),I269)</f>
        <v>6.0607169515373884E-7</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3.4272546930786576E-15</v>
      </c>
      <c r="L271" s="298">
        <f t="shared" si="13"/>
        <v>3.4272546930786576E-15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2.6556893866666665E-16</v>
      </c>
      <c r="L272" s="298">
        <f t="shared" si="13"/>
        <v>2.6556893866666665E-16</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1.5766196161215779E-4</v>
      </c>
      <c r="L273" s="298">
        <f t="shared" si="13"/>
        <v>1.5766196161215779E-4</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2.9718579621078656E-14</v>
      </c>
      <c r="L275" s="298">
        <f t="shared" si="13"/>
        <v>2.9718579621078656E-14</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2.6556893866666664E-14</v>
      </c>
      <c r="L276" s="298">
        <f t="shared" si="13"/>
        <v>2.6556893866666664E-14</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1.0287377883584224E-4</v>
      </c>
      <c r="L277" s="298">
        <f t="shared" si="13"/>
        <v>1.0287377883584224E-4</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5.8173751410786568E-15</v>
      </c>
      <c r="L279" s="298">
        <f t="shared" si="13"/>
        <v>5.8173751410786568E-15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2.6556893866666664E-15</v>
      </c>
      <c r="L280" s="298">
        <f t="shared" si="13"/>
        <v>2.6556893866666664E-15</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1.0479853187431706E-17</v>
      </c>
      <c r="L281" s="298">
        <f t="shared" si="13"/>
        <v>1.0479853187431706E-17</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3.1512059012245592E-15</v>
      </c>
      <c r="L282" s="298">
        <f t="shared" si="13"/>
        <v>3.1512059012245592E-15</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3.9837754361297364E-4</v>
      </c>
      <c r="L284" s="298">
        <f t="shared" ref="L284:L291" si="14">IF(ISBLANK(I284),IF(ISNUMBER(J284)=FALSE,K284,J284),I284)</f>
        <v>3.9837754361297364E-4</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3.9837754361297364E-4</v>
      </c>
      <c r="L286" s="298">
        <f t="shared" si="14"/>
        <v>3.9837754361297364E-4</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3.9837754361297367E-3</v>
      </c>
      <c r="L288" s="298">
        <f t="shared" si="14"/>
        <v>3.9837754361297367E-3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5.4941672617375569E-17</v>
      </c>
      <c r="L290" s="551">
        <f t="shared" si="14"/>
        <v>5.4941672617375569E-17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1.3776257792593853E-18</v>
      </c>
      <c r="L291" s="298">
        <f t="shared" si="14"/>
        <v>1.3776257792593853E-18</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9.2722385890694223E-4</v>
      </c>
      <c r="L293" s="298">
        <f t="shared" ref="L293:L308" si="15">IF(ISBLANK(I293),IF(ISNUMBER(J293)=FALSE,K293,J293),I293)</f>
        <v>9.2722385890694223E-4</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9.2722385890694223E-4</v>
      </c>
      <c r="L294" s="298">
        <f t="shared" si="15"/>
        <v>9.2722385890694223E-4</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9.2722385890694221E-3</v>
      </c>
      <c r="L295" s="298">
        <f t="shared" si="15"/>
        <v>9.2722385890694221E-3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0.70331646779311785</v>
      </c>
      <c r="L298" s="298">
        <f t="shared" si="15"/>
        <v>0.70331646779311785</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3.7166886686086278E-3</v>
      </c>
      <c r="L299" s="990">
        <f t="shared" si="15"/>
        <v>3.7166886686086278E-3</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5.0524657406425956E-4</v>
      </c>
      <c r="L303" s="298">
        <f t="shared" si="15"/>
        <v>5.0524657406425956E-4</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0.69909453255044496</v>
      </c>
      <c r="L304" s="298">
        <f t="shared" si="15"/>
        <v>0.69909453255044496</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2.2187500000000002E-2</v>
      </c>
      <c r="L306" s="298">
        <f t="shared" si="15"/>
        <v>2.2187500000000002E-2</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31408.093825857581</v>
      </c>
      <c r="L307" s="298">
        <f t="shared" si="15"/>
        <v>31408.093825857581</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1.1503631315147487</v>
      </c>
      <c r="L308" s="298">
        <f t="shared" si="15"/>
        <v>1.1503631315147487</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1.9918877180648688E-2</v>
      </c>
      <c r="L310" s="298">
        <f t="shared" ref="L310:L315" si="16">IF(ISBLANK(I310),IF(ISNUMBER(J310)=FALSE,K310,J310),I310)</f>
        <v>1.9918877180648688E-2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1.9918877180648688E-2</v>
      </c>
      <c r="L311" s="298">
        <f t="shared" si="16"/>
        <v>1.9918877180648688E-2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1.9918877180648688E-2</v>
      </c>
      <c r="L312" s="298">
        <f t="shared" si="16"/>
        <v>1.9918877180648688E-2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5.4941672617375569E-17</v>
      </c>
      <c r="L314" s="298">
        <f t="shared" si="16"/>
        <v>5.4941672617375569E-17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1.3776257792593853E-18</v>
      </c>
      <c r="L315" s="298">
        <f t="shared" si="16"/>
        <v>1.3776257792593853E-18</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5.5916393528730162E-3</v>
      </c>
      <c r="L317" s="298">
        <f t="shared" ref="L317:L358" si="17">IF(ISBLANK(I317),IF(ISNUMBER(J317)=FALSE,K317,J317),I317)</f>
        <v>5.5916393528730162E-3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0.70689366633851425</v>
      </c>
      <c r="L320" s="298">
        <f t="shared" si="17"/>
        <v>0.70689366633851425</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7.293887214005014E-3</v>
      </c>
      <c r="L321" s="298">
        <f t="shared" si="17"/>
        <v>7.293887214005014E-3</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5.0524657406425956E-4</v>
      </c>
      <c r="L325" s="298">
        <f t="shared" si="17"/>
        <v>5.0524657406425956E-4</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0.69909453255044496</v>
      </c>
      <c r="L326" s="298">
        <f t="shared" si="17"/>
        <v>0.69909453255044496</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2.2187500000000002E-2</v>
      </c>
      <c r="L328" s="298">
        <f t="shared" si="17"/>
        <v>2.2187500000000002E-2</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31408.093825857581</v>
      </c>
      <c r="L329" s="298">
        <f t="shared" si="17"/>
        <v>31408.093825857581</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1.1503631315147487</v>
      </c>
      <c r="L330" s="298">
        <f t="shared" si="17"/>
        <v>1.1503631315147487</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5.5916393528730162E-3</v>
      </c>
      <c r="L331" s="298">
        <f t="shared" si="17"/>
        <v>5.5916393528730162E-3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0.70689366633851425</v>
      </c>
      <c r="L334" s="298">
        <f t="shared" si="17"/>
        <v>0.70689366633851425</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7.293887214005014E-3</v>
      </c>
      <c r="L335" s="298">
        <f t="shared" si="17"/>
        <v>7.293887214005014E-3</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5.0524657406425956E-4</v>
      </c>
      <c r="L339" s="298">
        <f t="shared" si="17"/>
        <v>5.0524657406425956E-4</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0.69909453255044496</v>
      </c>
      <c r="L340" s="298">
        <f t="shared" si="17"/>
        <v>0.69909453255044496</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2.2187500000000002E-2</v>
      </c>
      <c r="L341" s="298">
        <f t="shared" si="17"/>
        <v>2.2187500000000002E-2</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31408.093825857581</v>
      </c>
      <c r="L342" s="298">
        <f t="shared" si="17"/>
        <v>31408.093825857581</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1.1503631315147487</v>
      </c>
      <c r="L344" s="298">
        <f t="shared" si="17"/>
        <v>1.1503631315147487</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5.5916393528730162E-3</v>
      </c>
      <c r="L345" s="298">
        <f t="shared" si="17"/>
        <v>5.5916393528730162E-3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0.70689366633851425</v>
      </c>
      <c r="L348" s="298">
        <f t="shared" si="17"/>
        <v>0.70689366633851425</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7.293887214005014E-3</v>
      </c>
      <c r="L349" s="298">
        <f t="shared" si="17"/>
        <v>7.293887214005014E-3</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5.0524657406425956E-4</v>
      </c>
      <c r="L353" s="298">
        <f t="shared" si="17"/>
        <v>5.0524657406425956E-4</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0.69909453255044496</v>
      </c>
      <c r="L354" s="298">
        <f t="shared" si="17"/>
        <v>0.69909453255044496</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2.2187500000000002E-2</v>
      </c>
      <c r="L355" s="298">
        <f t="shared" si="17"/>
        <v>2.2187500000000002E-2</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31408.093825857581</v>
      </c>
      <c r="L356" s="298">
        <f t="shared" si="17"/>
        <v>31408.093825857581</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1.1503631315147487</v>
      </c>
      <c r="L358" s="298">
        <f t="shared" si="17"/>
        <v>1.1503631315147487</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2.8400038551638069E-6</v>
      </c>
      <c r="L370" s="550">
        <f t="shared" ref="L370:L401" si="19">IF(ISBLANK(I370),IF(ISNUMBER(J370)=FALSE,K370,J370),I370)</f>
        <v>2.8400038551638069E-6</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408.00646714232624</v>
      </c>
      <c r="L371" s="550">
        <f t="shared" si="19"/>
        <v>408.00646714232624</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9.5950092564945988E-17</v>
      </c>
      <c r="L372" s="550">
        <f t="shared" si="19"/>
        <v>9.5950092564945988E-17</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3.91482582894028E-14</v>
      </c>
      <c r="L373" s="550">
        <f t="shared" si="19"/>
        <v>3.91482582894028E-14</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3.6500500925352365E-5</v>
      </c>
      <c r="L374" s="706">
        <f t="shared" si="19"/>
        <v>3.6500500925352365E-5</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4.1349997110521795E-5</v>
      </c>
      <c r="L375" s="550">
        <f t="shared" si="19"/>
        <v>4.1349997110521795E-5</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0.92368669696135697</v>
      </c>
      <c r="L376" s="550">
        <f t="shared" si="19"/>
        <v>0.92368669696135697</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4.0564347165421885E-4</v>
      </c>
      <c r="L377" s="550">
        <f t="shared" si="19"/>
        <v>4.0564347165421885E-4</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3544351.6705321455</v>
      </c>
      <c r="L378" s="550">
        <f t="shared" si="19"/>
        <v>3544351.6705321455</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5.6514346376452004E-5</v>
      </c>
      <c r="L379" s="550">
        <f t="shared" si="19"/>
        <v>5.6514346376452004E-5</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7.5632326836711283E-2</v>
      </c>
      <c r="L380" s="550">
        <f t="shared" si="19"/>
        <v>7.5632326836711283E-2</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0.33231350080598032</v>
      </c>
      <c r="L381" s="550">
        <f t="shared" si="19"/>
        <v>0.33231350080598032</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0.40800234198906804</v>
      </c>
      <c r="L382" s="550">
        <f t="shared" si="19"/>
        <v>0.40800234198906804</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3.6501159206108354E-5</v>
      </c>
      <c r="L383" s="550">
        <f t="shared" si="19"/>
        <v>3.6501159206108354E-5</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1.0265394005937547</v>
      </c>
      <c r="L384" s="550">
        <f t="shared" si="19"/>
        <v>1.0265394005937547</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4.1687425520911761E-12</v>
      </c>
      <c r="L385" s="550">
        <f t="shared" si="19"/>
        <v>4.1687425520911761E-12</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4.1350765328449014E-5</v>
      </c>
      <c r="L386" s="550">
        <f t="shared" si="19"/>
        <v>4.1350765328449014E-5</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0.92370385593313742</v>
      </c>
      <c r="L387" s="550">
        <f t="shared" si="19"/>
        <v>0.92370385593313742</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4.0565100787208491E-4</v>
      </c>
      <c r="L388" s="550">
        <f t="shared" si="19"/>
        <v>4.0565100787208491E-4</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3544356.6062072506</v>
      </c>
      <c r="L389" s="550">
        <f t="shared" si="19"/>
        <v>3544356.6062072506</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5.6514304804409653E-5</v>
      </c>
      <c r="L390" s="550">
        <f t="shared" si="19"/>
        <v>5.6514304804409653E-5</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7.5632447806440919E-2</v>
      </c>
      <c r="L391" s="550">
        <f t="shared" si="19"/>
        <v>7.5632447806440919E-2</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0.33232073813547175</v>
      </c>
      <c r="L392" s="550">
        <f t="shared" si="19"/>
        <v>0.33232073813547175</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0.40800970024671707</v>
      </c>
      <c r="L393" s="550">
        <f t="shared" si="19"/>
        <v>0.40800970024671707</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1.4713087556865078E-6</v>
      </c>
      <c r="L395" s="706">
        <f t="shared" si="19"/>
        <v>1.4713087556865078E-6</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1.125433221651896E-2</v>
      </c>
      <c r="L396" s="550">
        <f t="shared" si="19"/>
        <v>1.125433221651896E-2</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18.177038489868451</v>
      </c>
      <c r="L398" s="550">
        <f t="shared" si="19"/>
        <v>18.177038489868451</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4.3017199075296468E-5</v>
      </c>
      <c r="L400" s="550">
        <f t="shared" si="19"/>
        <v>4.3017199075296468E-5</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2.3409835870572904E-3</v>
      </c>
      <c r="L401" s="550">
        <f t="shared" si="19"/>
        <v>2.3409835870572904E-3</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0.2871658011615516</v>
      </c>
      <c r="L405" s="550">
        <f t="shared" si="20"/>
        <v>0.2871658011615516</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3.2695750126366837E-6</v>
      </c>
      <c r="L406" s="550">
        <f t="shared" si="20"/>
        <v>3.2695750126366837E-6</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1.125433221651896E-2</v>
      </c>
      <c r="L407" s="550">
        <f t="shared" si="20"/>
        <v>1.125433221651896E-2</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18.177038489868451</v>
      </c>
      <c r="L409" s="550">
        <f t="shared" si="20"/>
        <v>18.177038489868451</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4.3017199075296468E-5</v>
      </c>
      <c r="L411" s="550">
        <f t="shared" si="20"/>
        <v>4.3017199075296468E-5</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2.3409835870572904E-3</v>
      </c>
      <c r="L412" s="550">
        <f t="shared" si="20"/>
        <v>2.3409835870572904E-3</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0.2871658011615516</v>
      </c>
      <c r="L416" s="550">
        <f t="shared" si="20"/>
        <v>0.2871658011615516</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5.4492916877278055E-7</v>
      </c>
      <c r="L417" s="550">
        <f t="shared" si="20"/>
        <v>5.4492916877278055E-7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1.125433221651896E-2</v>
      </c>
      <c r="L418" s="550">
        <f t="shared" si="20"/>
        <v>1.125433221651896E-2</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18.177038489868451</v>
      </c>
      <c r="L420" s="550">
        <f t="shared" si="20"/>
        <v>18.177038489868451</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4.3017199075296468E-5</v>
      </c>
      <c r="L422" s="550">
        <f t="shared" si="20"/>
        <v>4.3017199075296468E-5</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2.3409835870572904E-3</v>
      </c>
      <c r="L423" s="550">
        <f t="shared" si="20"/>
        <v>2.3409835870572904E-3</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0.2871658011615516</v>
      </c>
      <c r="L427" s="550">
        <f t="shared" si="20"/>
        <v>0.2871658011615516</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1.4713145266385944E-6</v>
      </c>
      <c r="L428" s="550">
        <f t="shared" si="20"/>
        <v>1.4713145266385944E-6</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1.1254376359675002E-2</v>
      </c>
      <c r="L429" s="550">
        <f t="shared" si="20"/>
        <v>1.1254376359675002E-2</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18.176727456171886</v>
      </c>
      <c r="L430" s="550">
        <f t="shared" si="20"/>
        <v>18.176727456171886</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4.3017159139704681E-5</v>
      </c>
      <c r="L431" s="550">
        <f t="shared" si="20"/>
        <v>4.3017159139704681E-5</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2.3409865527405935E-3</v>
      </c>
      <c r="L432" s="550">
        <f t="shared" si="20"/>
        <v>2.3409865527405935E-3</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0.28717075290905059</v>
      </c>
      <c r="L433" s="550">
        <f t="shared" si="20"/>
        <v>0.28717075290905059</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3.2695878369746536E-6</v>
      </c>
      <c r="L434" s="550">
        <f t="shared" ref="L434:L465" si="21">IF(ISBLANK(I434),IF(ISNUMBER(J434)=FALSE,K434,J434),I434)</f>
        <v>3.2695878369746536E-6</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1.1254376359675002E-2</v>
      </c>
      <c r="L435" s="550">
        <f t="shared" si="21"/>
        <v>1.1254376359675002E-2</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18.176727456171886</v>
      </c>
      <c r="L436" s="550">
        <f t="shared" si="21"/>
        <v>18.176727456171886</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4.3017159139704681E-5</v>
      </c>
      <c r="L437" s="550">
        <f t="shared" si="21"/>
        <v>4.3017159139704681E-5</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2.3409865527405935E-3</v>
      </c>
      <c r="L438" s="550">
        <f t="shared" si="21"/>
        <v>2.3409865527405935E-3</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0.28717075290905059</v>
      </c>
      <c r="L439" s="550">
        <f t="shared" si="21"/>
        <v>0.28717075290905059</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5.449313061624422E-7</v>
      </c>
      <c r="L440" s="550">
        <f t="shared" si="21"/>
        <v>5.449313061624422E-7</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1.1254376359675002E-2</v>
      </c>
      <c r="L441" s="550">
        <f t="shared" si="21"/>
        <v>1.1254376359675002E-2</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18.176727456171886</v>
      </c>
      <c r="L442" s="550">
        <f t="shared" si="21"/>
        <v>18.176727456171886</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4.3017159139704681E-5</v>
      </c>
      <c r="L443" s="550">
        <f t="shared" si="21"/>
        <v>4.3017159139704681E-5</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2.3409865527405935E-3</v>
      </c>
      <c r="L444" s="550">
        <f t="shared" si="21"/>
        <v>2.3409865527405935E-3</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0.28717075290905059</v>
      </c>
      <c r="L445" s="550">
        <f t="shared" si="21"/>
        <v>0.28717075290905059</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7.3933844782602281E-10</v>
      </c>
      <c r="L449" s="550">
        <f t="shared" si="21"/>
        <v>7.3933844782602281E-10</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6.1077739927326534E-4</v>
      </c>
      <c r="L450" s="550">
        <f t="shared" si="21"/>
        <v>6.1077739927326534E-4</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4800.8640052224646</v>
      </c>
      <c r="L452" s="550">
        <f t="shared" si="21"/>
        <v>4800.8640052224646</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5.3116762540522699E-4</v>
      </c>
      <c r="L454" s="550">
        <f t="shared" si="21"/>
        <v>5.3116762540522699E-4</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5.651262685712502E-4</v>
      </c>
      <c r="L455" s="550">
        <f t="shared" si="21"/>
        <v>5.651262685712502E-4</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8.1327229260862508E-9</v>
      </c>
      <c r="L456" s="550">
        <f t="shared" si="21"/>
        <v>8.1327229260862508E-9</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6.1077739927326534E-4</v>
      </c>
      <c r="L457" s="550">
        <f t="shared" si="21"/>
        <v>6.1077739927326534E-4</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3.1373455817945066E-7</v>
      </c>
      <c r="L459" s="550">
        <f t="shared" si="21"/>
        <v>3.1373455817945066E-7</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6.0824224644662303E-4</v>
      </c>
      <c r="L460" s="550">
        <f t="shared" si="21"/>
        <v>6.0824224644662303E-4</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7.3936500135670603E-10</v>
      </c>
      <c r="L462" s="550">
        <f t="shared" si="21"/>
        <v>7.3936500135670603E-10</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6.1079933550079401E-4</v>
      </c>
      <c r="L463" s="550">
        <f t="shared" si="21"/>
        <v>6.1079933550079401E-4</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4800.5218231067693</v>
      </c>
      <c r="L464" s="550">
        <f t="shared" si="21"/>
        <v>4800.5218231067693</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5.3116725556776013E-4</v>
      </c>
      <c r="L465" s="550">
        <f t="shared" si="21"/>
        <v>5.3116725556776013E-4</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5.6520478244761281E-4</v>
      </c>
      <c r="L466" s="550">
        <f t="shared" ref="L466:L497" si="22">IF(ISBLANK(I466),IF(ISNUMBER(J466)=FALSE,K466,J466),I466)</f>
        <v>5.6520478244761281E-4</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8.1330150149237649E-9</v>
      </c>
      <c r="L467" s="550">
        <f t="shared" si="22"/>
        <v>8.1330150149237649E-9</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6.1079933550079401E-4</v>
      </c>
      <c r="L468" s="550">
        <f t="shared" si="22"/>
        <v>6.1079933550079401E-4</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3.1374569054105505E-7</v>
      </c>
      <c r="L469" s="550">
        <f t="shared" si="22"/>
        <v>3.1374569054105505E-7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6.0826382893555838E-4</v>
      </c>
      <c r="L470" s="550">
        <f t="shared" si="22"/>
        <v>6.0826382893555838E-4</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9.9999999999999993E-23</v>
      </c>
      <c r="L492" s="706">
        <f t="shared" si="22"/>
        <v>9.9999999999999993E-23</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3.3333333333333329E-21</v>
      </c>
      <c r="L493" s="550">
        <f t="shared" si="22"/>
        <v>3.3333333333333329E-21</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4.9999999999999997E-23</v>
      </c>
      <c r="L494" s="550">
        <f t="shared" si="22"/>
        <v>4.9999999999999997E-23</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9.9999999999999993E-23</v>
      </c>
      <c r="L495" s="550">
        <f t="shared" si="22"/>
        <v>9.9999999999999993E-23</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3.3333333333333329E-21</v>
      </c>
      <c r="L496" s="550">
        <f t="shared" si="22"/>
        <v>3.3333333333333329E-21</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4.9999999999999997E-23</v>
      </c>
      <c r="L497" s="550">
        <f t="shared" si="22"/>
        <v>4.9999999999999997E-23</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1.5978356359197139E-7</v>
      </c>
      <c r="L498" s="550">
        <f t="shared" ref="L498:L527" si="23">IF(ISBLANK(I498),IF(ISNUMBER(J498)=FALSE,K498,J498),I498)</f>
        <v>1.5978356359197139E-7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5.3261187863990456E-6</v>
      </c>
      <c r="L499" s="550">
        <f t="shared" si="23"/>
        <v>5.3261187863990456E-6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7.9891781795985684E-8</v>
      </c>
      <c r="L500" s="550">
        <f t="shared" si="23"/>
        <v>7.9891781795985684E-8</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5" priority="4" operator="equal">
      <formula>0</formula>
    </cfRule>
  </conditionalFormatting>
  <conditionalFormatting sqref="K204:K209">
    <cfRule type="cellIs" dxfId="44"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436" transitionEvaluation="1" transitionEntry="1" codeName="Sheet4"/>
  <dimension ref="A1:U972"/>
  <sheetViews>
    <sheetView topLeftCell="E436" zoomScaleNormal="100" workbookViewId="0">
      <selection activeCell="K478" sqref="K478"/>
    </sheetView>
  </sheetViews>
  <sheetFormatPr defaultColWidth="10.6640625" defaultRowHeight="12.75" customHeight="1" x14ac:dyDescent="0.3"/>
  <cols>
    <col min="1" max="5" width="1.6640625" customWidth="1" collapsed="1"/>
    <col min="6" max="6" width="65.6640625" customWidth="1" collapsed="1"/>
    <col min="7" max="7" width="22.6640625" customWidth="1" collapsed="1"/>
    <col min="8" max="8" width="10.6640625" style="172" customWidth="1" collapsed="1"/>
    <col min="9" max="9" width="9.109375" style="28" customWidth="1" collapsed="1"/>
    <col min="10" max="10" width="9.109375" style="268" customWidth="1" collapsed="1"/>
    <col min="11" max="11" width="9.5546875" style="332" customWidth="1" collapsed="1"/>
    <col min="12" max="12" width="8.6640625" style="332" bestFit="1" customWidth="1" collapsed="1"/>
    <col min="13" max="13" width="9.109375" customWidth="1" collapsed="1"/>
    <col min="14" max="14" width="67.44140625" customWidth="1" collapsed="1"/>
    <col min="15" max="15" width="14" style="26" customWidth="1" collapsed="1"/>
    <col min="16" max="16" width="28.6640625" style="26" bestFit="1" customWidth="1" collapsed="1"/>
    <col min="17" max="20" width="10.6640625" style="26" collapsed="1"/>
    <col min="21" max="21" width="10.6640625" style="26"/>
    <col min="22" max="16384" width="10.664062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35">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35">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3.9542347198869956E-6</v>
      </c>
      <c r="L78" s="298">
        <f t="shared" ref="L78:L85" si="5">IF(ISBLANK(I78),IF(ISNUMBER(J78)=FALSE,K78,J78),I78)</f>
        <v>3.9542347198869956E-6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3.9542347198861418E-6</v>
      </c>
      <c r="L79" s="298">
        <f t="shared" si="5"/>
        <v>3.9542347198861418E-6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5.7463770656568837E-28</v>
      </c>
      <c r="L80" s="298">
        <f t="shared" si="5"/>
        <v>5.7463770656568837E-28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9.9730720028708376E-27</v>
      </c>
      <c r="L81" s="298">
        <f t="shared" si="5"/>
        <v>9.9730720028708376E-27</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7.9084694397718397E-6</v>
      </c>
      <c r="L82" s="298">
        <f t="shared" si="5"/>
        <v>7.9084694397718397E-6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9.0730402325650629E-6</v>
      </c>
      <c r="L83" s="298">
        <f t="shared" si="5"/>
        <v>9.0730402325650629E-6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2.1645707927927999E-6</v>
      </c>
      <c r="L84" s="298">
        <f t="shared" si="5"/>
        <v>2.1645707927927999E-6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2.1519941708939369E-15</v>
      </c>
      <c r="L94" s="298">
        <f t="shared" si="6"/>
        <v>2.1519941708939369E-15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4.4348729799641328E-16</v>
      </c>
      <c r="L95" s="298">
        <f t="shared" si="6"/>
        <v>4.4348729799641328E-16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5.746377065656884E-26</v>
      </c>
      <c r="L96" s="298">
        <f t="shared" si="6"/>
        <v>5.746377065656884E-26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4.9865360014354193E-28</v>
      </c>
      <c r="L97" s="298">
        <f t="shared" si="6"/>
        <v>4.9865360014354193E-28</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5.0841810602709056E-3</v>
      </c>
      <c r="L98" s="298">
        <f t="shared" si="6"/>
        <v>5.0841810602709056E-3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5.7304969829151961E-6</v>
      </c>
      <c r="L99" s="298">
        <f t="shared" si="6"/>
        <v>5.7304969829151961E-6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4.0612619817811778E-17</v>
      </c>
      <c r="L102" s="298">
        <f t="shared" si="6"/>
        <v>4.0612619817811778E-17</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4.0583399769977389E-14</v>
      </c>
      <c r="L126" s="298">
        <f t="shared" si="8"/>
        <v>4.0583399769977389E-14</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4.0583399769977389E-14</v>
      </c>
      <c r="L127" s="298">
        <f t="shared" si="8"/>
        <v>4.0583399769977389E-14</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2.9839749272759756E-12</v>
      </c>
      <c r="L128" s="298">
        <f t="shared" si="8"/>
        <v>2.9839749272759756E-12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3.1466381043321187E-11</v>
      </c>
      <c r="L129" s="298">
        <f t="shared" si="8"/>
        <v>3.1466381043321187E-11</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4.0583399769977389E-14</v>
      </c>
      <c r="L134" s="298">
        <f t="shared" si="8"/>
        <v>4.0583399769977389E-14</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4.0583399769977389E-14</v>
      </c>
      <c r="L135" s="298">
        <f t="shared" si="8"/>
        <v>4.0583399769977389E-14</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4.0612619817811771E-17</v>
      </c>
      <c r="L139" s="298">
        <f t="shared" si="8"/>
        <v>4.0612619817811771E-17</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4.0612619817811775E-16</v>
      </c>
      <c r="L140" s="298">
        <f t="shared" si="8"/>
        <v>4.0612619817811775E-16</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1.5797647583020533E-3</v>
      </c>
      <c r="L147" s="298">
        <f t="shared" ref="L147:L162" si="9">IF(ISBLANK(I147),IF(ISNUMBER(J147)=FALSE,K147,J147),I147)</f>
        <v>1.5797647583020533E-3</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1.525978589773635E-3</v>
      </c>
      <c r="L148" s="298">
        <f t="shared" si="9"/>
        <v>1.525978589773635E-3</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0.98622344206725954</v>
      </c>
      <c r="L152" s="298">
        <f t="shared" si="9"/>
        <v>0.98622344206725954</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5.3786168528418363E-5</v>
      </c>
      <c r="L153" s="298">
        <f t="shared" si="9"/>
        <v>5.3786168528418363E-5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0.99102190689887071</v>
      </c>
      <c r="L157" s="298">
        <f t="shared" si="9"/>
        <v>0.99102190689887071</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2.5974935669723542E-10</v>
      </c>
      <c r="L158" s="298">
        <f t="shared" si="9"/>
        <v>2.5974935669723542E-10</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0.98569298593108845</v>
      </c>
      <c r="L162" s="298">
        <f t="shared" si="9"/>
        <v>0.98569298593108845</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1.4597383152554355E-2</v>
      </c>
      <c r="L164" s="298">
        <f t="shared" ref="L164:L185" si="10">IF(ISBLANK(I164),IF(ISNUMBER(J164)=FALSE,K164,J164),I164)</f>
        <v>1.4597383152554355E-2</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4.1273128506330167E-16</v>
      </c>
      <c r="L166" s="298">
        <f t="shared" si="10"/>
        <v>4.1273128506330167E-16</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3.5641198666666671E-16</v>
      </c>
      <c r="L167" s="298">
        <f t="shared" si="10"/>
        <v>3.5641198666666671E-16</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1.4597383152554355E-2</v>
      </c>
      <c r="L169" s="298">
        <f t="shared" si="10"/>
        <v>1.4597383152554355E-2</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4.1273128506330167E-16</v>
      </c>
      <c r="L171" s="298">
        <f t="shared" si="10"/>
        <v>4.1273128506330167E-16</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3.5641198666666671E-16</v>
      </c>
      <c r="L172" s="298">
        <f t="shared" si="10"/>
        <v>3.5641198666666671E-16</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5.4941672617375569E-17</v>
      </c>
      <c r="L174" s="551">
        <f t="shared" si="10"/>
        <v>5.4941672617375569E-17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1.3776257792593853E-18</v>
      </c>
      <c r="L175" s="298">
        <f t="shared" si="10"/>
        <v>1.3776257792593853E-18</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1.0287377883584224E-4</v>
      </c>
      <c r="L176" s="298">
        <f t="shared" si="10"/>
        <v>1.0287377883584224E-4</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5.8173751410786568E-15</v>
      </c>
      <c r="L178" s="298">
        <f t="shared" si="10"/>
        <v>5.8173751410786568E-15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2.6556893866666664E-15</v>
      </c>
      <c r="L179" s="298">
        <f t="shared" si="10"/>
        <v>2.6556893866666664E-15</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1.0287377883584224E-4</v>
      </c>
      <c r="L180" s="298">
        <f t="shared" si="10"/>
        <v>1.0287377883584224E-4</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5.8173751410786568E-15</v>
      </c>
      <c r="L182" s="298">
        <f t="shared" si="10"/>
        <v>5.8173751410786568E-15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2.6556893866666664E-15</v>
      </c>
      <c r="L183" s="298">
        <f t="shared" si="10"/>
        <v>2.6556893866666664E-15</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1.0479853187431706E-17</v>
      </c>
      <c r="L184" s="298">
        <f t="shared" si="10"/>
        <v>1.0479853187431706E-17</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3.1512059012245592E-15</v>
      </c>
      <c r="L185" s="298">
        <f t="shared" si="10"/>
        <v>3.1512059012245592E-15</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3.9837754361297367E-3</v>
      </c>
      <c r="L187" s="298">
        <f t="shared" ref="L187:L204" si="11">IF(ISBLANK(I187),IF(ISNUMBER(J187)=FALSE,K187,J187),I187)</f>
        <v>3.9837754361297367E-3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5.4941672617375569E-17</v>
      </c>
      <c r="L189" s="551">
        <f t="shared" si="11"/>
        <v>5.4941672617375569E-17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1.3776257792593853E-18</v>
      </c>
      <c r="L190" s="298">
        <f t="shared" si="11"/>
        <v>1.3776257792593853E-18</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9.2722385890694221E-3</v>
      </c>
      <c r="L191" s="298">
        <f t="shared" si="11"/>
        <v>9.2722385890694221E-3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0.70331646779311785</v>
      </c>
      <c r="L194" s="298">
        <f t="shared" si="11"/>
        <v>0.70331646779311785</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3.7166886686086278E-3</v>
      </c>
      <c r="L195" s="298">
        <f t="shared" si="11"/>
        <v>3.7166886686086278E-3</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5.0524657406425956E-4</v>
      </c>
      <c r="L199" s="298">
        <f t="shared" si="11"/>
        <v>5.0524657406425956E-4</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0.69909453255044496</v>
      </c>
      <c r="L200" s="298">
        <f t="shared" si="11"/>
        <v>0.69909453255044496</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2.2187500000000002E-2</v>
      </c>
      <c r="L202" s="298">
        <f t="shared" si="11"/>
        <v>2.2187500000000002E-2</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31408.093825857581</v>
      </c>
      <c r="L203" s="298">
        <f t="shared" si="11"/>
        <v>31408.093825857581</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1.1503631315147487</v>
      </c>
      <c r="L204" s="298">
        <f t="shared" si="11"/>
        <v>1.1503631315147487</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1.9918877180648688E-2</v>
      </c>
      <c r="L206" s="298">
        <f>IF(ISBLANK(I206),IF(ISNUMBER(J206)=FALSE,K206,J206),I206)</f>
        <v>1.9918877180648688E-2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5.4941672617375569E-17</v>
      </c>
      <c r="L209" s="298">
        <f t="shared" ref="L209:L224" si="12">IF(ISBLANK(I209),IF(ISNUMBER(J209)=FALSE,K209,J209),I209)</f>
        <v>5.4941672617375569E-17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1.3776257792593853E-18</v>
      </c>
      <c r="L210" s="298">
        <f t="shared" si="12"/>
        <v>1.3776257792593853E-18</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5.5916393528730162E-3</v>
      </c>
      <c r="L211" s="298">
        <f t="shared" si="12"/>
        <v>5.5916393528730162E-3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0.70689366633851425</v>
      </c>
      <c r="L214" s="298">
        <f t="shared" si="12"/>
        <v>0.70689366633851425</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7.293887214005014E-3</v>
      </c>
      <c r="L215" s="298">
        <f t="shared" si="12"/>
        <v>7.293887214005014E-3</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5.0524657406425956E-4</v>
      </c>
      <c r="L219" s="298">
        <f t="shared" si="12"/>
        <v>5.0524657406425956E-4</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0.69909453255044496</v>
      </c>
      <c r="L220" s="298">
        <f t="shared" si="12"/>
        <v>0.69909453255044496</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2.2187500000000002E-2</v>
      </c>
      <c r="L221" s="298">
        <f t="shared" si="12"/>
        <v>2.2187500000000002E-2</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31408.093825857581</v>
      </c>
      <c r="L222" s="298">
        <f t="shared" si="12"/>
        <v>31408.093825857581</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1.1503631315147487</v>
      </c>
      <c r="L224" s="298">
        <f t="shared" si="12"/>
        <v>1.1503631315147487</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2.8400038551638069E-6</v>
      </c>
      <c r="L236" s="298">
        <f>IF(ISBLANK(I236),IF(ISNUMBER(J236)=FALSE,K236,J236),I236)</f>
        <v>2.8400038551638069E-6</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408.00646714232624</v>
      </c>
      <c r="L237" s="298">
        <f>IF(ISBLANK(I237),IF(ISNUMBER(J237)=FALSE,K237,J237),I237)</f>
        <v>408.00646714232624</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9.5950092564945988E-17</v>
      </c>
      <c r="L238" s="298">
        <f>IF(ISBLANK(I238),IF(ISNUMBER(J238)=FALSE,K238,J238),I238)</f>
        <v>9.5950092564945988E-17</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3.91482582894028E-14</v>
      </c>
      <c r="L239" s="298">
        <f>IF(ISBLANK(I239),IF(ISNUMBER(J239)=FALSE,K239,J239),I239)</f>
        <v>3.91482582894028E-14</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3.6500500925352365E-5</v>
      </c>
      <c r="L241" s="298">
        <f t="shared" ref="L241:L272" si="14">IF(ISBLANK(I241),IF(ISNUMBER(J241)=FALSE,K241,J241),I241)</f>
        <v>3.6500500925352365E-5</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4.1349997110521795E-5</v>
      </c>
      <c r="L242" s="298">
        <f t="shared" si="14"/>
        <v>4.1349997110521795E-5</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0.92368669696135697</v>
      </c>
      <c r="L243" s="298">
        <f t="shared" si="14"/>
        <v>0.92368669696135697</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4.0564347165421885E-4</v>
      </c>
      <c r="L244" s="298">
        <f t="shared" si="14"/>
        <v>4.0564347165421885E-4</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3544351.6705321455</v>
      </c>
      <c r="L245" s="298">
        <f t="shared" si="14"/>
        <v>3544351.6705321455</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5.6514346376452004E-5</v>
      </c>
      <c r="L246" s="298">
        <f t="shared" si="14"/>
        <v>5.6514346376452004E-5</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7.5632326836711283E-2</v>
      </c>
      <c r="L247" s="298">
        <f t="shared" si="14"/>
        <v>7.5632326836711283E-2</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0.33231350080598032</v>
      </c>
      <c r="L248" s="298">
        <f t="shared" si="14"/>
        <v>0.33231350080598032</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0.40800234198906804</v>
      </c>
      <c r="L249" s="298">
        <f t="shared" si="14"/>
        <v>0.40800234198906804</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3.6501159206108354E-5</v>
      </c>
      <c r="L250" s="298">
        <f t="shared" si="14"/>
        <v>3.6501159206108354E-5</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1.0265394005937547</v>
      </c>
      <c r="L251" s="298">
        <f t="shared" si="14"/>
        <v>1.0265394005937547</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4.1687425520911761E-12</v>
      </c>
      <c r="L252" s="298">
        <f t="shared" si="14"/>
        <v>4.1687425520911761E-12</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4.1350765328449014E-5</v>
      </c>
      <c r="L253" s="298">
        <f t="shared" si="14"/>
        <v>4.1350765328449014E-5</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0.92370385593313742</v>
      </c>
      <c r="L254" s="298">
        <f t="shared" si="14"/>
        <v>0.92370385593313742</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4.0565100787208491E-4</v>
      </c>
      <c r="L255" s="298">
        <f t="shared" si="14"/>
        <v>4.0565100787208491E-4</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3544356.6062072506</v>
      </c>
      <c r="L256" s="298">
        <f t="shared" si="14"/>
        <v>3544356.6062072506</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5.6514304804409653E-5</v>
      </c>
      <c r="L257" s="298">
        <f t="shared" si="14"/>
        <v>5.6514304804409653E-5</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7.5632447806440919E-2</v>
      </c>
      <c r="L258" s="298">
        <f t="shared" si="14"/>
        <v>7.5632447806440919E-2</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0.33232073813547175</v>
      </c>
      <c r="L259" s="298">
        <f t="shared" si="14"/>
        <v>0.33232073813547175</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0.40800970024671707</v>
      </c>
      <c r="L260" s="298">
        <f t="shared" si="14"/>
        <v>0.40800970024671707</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5.6271677964098188E-6</v>
      </c>
      <c r="L262" s="298">
        <f t="shared" si="14"/>
        <v>5.6271677964098188E-6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1.125433221651896E-2</v>
      </c>
      <c r="L263" s="298">
        <f t="shared" si="14"/>
        <v>1.125433221651896E-2</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18.177038489868451</v>
      </c>
      <c r="L265" s="298">
        <f t="shared" si="14"/>
        <v>18.177038489868451</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4.3017199075296468E-5</v>
      </c>
      <c r="L267" s="298">
        <f t="shared" si="14"/>
        <v>4.3017199075296468E-5</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2.3409835870572904E-3</v>
      </c>
      <c r="L268" s="298">
        <f t="shared" si="14"/>
        <v>2.3409835870572904E-3</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0.2871658011615516</v>
      </c>
      <c r="L272" s="298">
        <f t="shared" si="14"/>
        <v>0.2871658011615516</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5.6271898679944606E-6</v>
      </c>
      <c r="L273" s="298">
        <f t="shared" ref="L273:L304" si="15">IF(ISBLANK(I273),IF(ISNUMBER(J273)=FALSE,K273,J273),I273)</f>
        <v>5.6271898679944606E-6</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1.1254376359675002E-2</v>
      </c>
      <c r="L274" s="298">
        <f t="shared" si="15"/>
        <v>1.1254376359675002E-2</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18.176727456171886</v>
      </c>
      <c r="L275" s="298">
        <f t="shared" si="15"/>
        <v>18.176727456171886</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4.3017159139704681E-5</v>
      </c>
      <c r="L276" s="298">
        <f t="shared" si="15"/>
        <v>4.3017159139704681E-5</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2.3409865527405935E-3</v>
      </c>
      <c r="L277" s="298">
        <f t="shared" si="15"/>
        <v>2.3409865527405935E-3</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0.28717075290905059</v>
      </c>
      <c r="L278" s="298">
        <f t="shared" si="15"/>
        <v>0.28717075290905059</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3.0412121445967584E-7</v>
      </c>
      <c r="L280" s="298">
        <f t="shared" si="15"/>
        <v>3.0412121445967584E-7</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6.0824224644662303E-4</v>
      </c>
      <c r="L281" s="298">
        <f t="shared" si="15"/>
        <v>6.0824224644662303E-4</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4800.8640052224646</v>
      </c>
      <c r="L283" s="298">
        <f t="shared" si="15"/>
        <v>4800.8640052224646</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5.3116762540522699E-4</v>
      </c>
      <c r="L285" s="298">
        <f t="shared" si="15"/>
        <v>5.3116762540522699E-4</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5.651262685712502E-4</v>
      </c>
      <c r="L286" s="298">
        <f t="shared" si="15"/>
        <v>5.651262685712502E-4</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3.0413200570738091E-7</v>
      </c>
      <c r="L287" s="298">
        <f t="shared" si="15"/>
        <v>3.0413200570738091E-7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6.0826382893555838E-4</v>
      </c>
      <c r="L288" s="298">
        <f t="shared" si="15"/>
        <v>6.0826382893555838E-4</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4800.5218231067693</v>
      </c>
      <c r="L289" s="298">
        <f t="shared" si="15"/>
        <v>4800.5218231067693</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5.3116725556776013E-4</v>
      </c>
      <c r="L290" s="298">
        <f t="shared" si="15"/>
        <v>5.3116725556776013E-4</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5.6520478244761281E-4</v>
      </c>
      <c r="L291" s="298">
        <f t="shared" si="15"/>
        <v>5.6520478244761281E-4</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2.4911186751511995E-7</v>
      </c>
      <c r="L299" s="298">
        <f t="shared" si="15"/>
        <v>2.4911186751511995E-7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2.4911186751511995E-7</v>
      </c>
      <c r="L300" s="298">
        <f t="shared" si="15"/>
        <v>2.4911186751511995E-7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4.0889543110709118E-7</v>
      </c>
      <c r="L301" s="298">
        <f t="shared" si="15"/>
        <v>4.0889543110709118E-7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3.3333333333333334E-24</v>
      </c>
      <c r="L302" s="298">
        <f t="shared" si="15"/>
        <v>3.3333333333333334E-24</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3.3333333333333334E-24</v>
      </c>
      <c r="L303" s="298">
        <f t="shared" si="15"/>
        <v>3.3333333333333334E-24</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5.3261187863990462E-9</v>
      </c>
      <c r="L304" s="298">
        <f t="shared" si="15"/>
        <v>5.3261187863990462E-9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35">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35">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1.2797903254869106E-33</v>
      </c>
      <c r="L402" s="298">
        <f t="shared" si="27"/>
        <v>1.2797903254869106E-33</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2.2211283594775314E-32</v>
      </c>
      <c r="L403" s="298">
        <f t="shared" si="27"/>
        <v>2.2211283594775314E-32</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1.1185676068229397E-19</v>
      </c>
      <c r="L416" s="298">
        <f t="shared" si="28"/>
        <v>1.1185676068229397E-19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2.3051666788434916E-20</v>
      </c>
      <c r="L417" s="298">
        <f t="shared" si="28"/>
        <v>2.3051666788434916E-20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1.2797903254869106E-31</v>
      </c>
      <c r="L418" s="298">
        <f t="shared" si="28"/>
        <v>1.2797903254869106E-31</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1.1105641797387657E-33</v>
      </c>
      <c r="L419" s="298">
        <f t="shared" si="28"/>
        <v>1.1105641797387657E-33</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5.0841810602709056E-3</v>
      </c>
      <c r="L420" s="298">
        <f t="shared" si="28"/>
        <v>5.0841810602709056E-3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5.7304969829151961E-6</v>
      </c>
      <c r="L421" s="298">
        <f t="shared" si="28"/>
        <v>5.7304969829151961E-6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8.838834764831846E-18</v>
      </c>
      <c r="L424" s="298">
        <f t="shared" si="28"/>
        <v>8.838834764831846E-18</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8.8324753825564043E-15</v>
      </c>
      <c r="L448" s="298">
        <f t="shared" si="30"/>
        <v>8.8324753825564043E-15</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8.8324753825564043E-15</v>
      </c>
      <c r="L449" s="298">
        <f t="shared" si="30"/>
        <v>8.8324753825564043E-15</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2.1139949710857147E-12</v>
      </c>
      <c r="L450" s="298">
        <f t="shared" si="30"/>
        <v>2.1139949710857147E-12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1.1237936573034436E-11</v>
      </c>
      <c r="L451" s="298">
        <f t="shared" si="30"/>
        <v>1.1237936573034436E-11</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8.8324753825564043E-15</v>
      </c>
      <c r="L456" s="298">
        <f t="shared" si="30"/>
        <v>8.8324753825564043E-15</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8.8324753825564043E-15</v>
      </c>
      <c r="L457" s="298">
        <f t="shared" si="30"/>
        <v>8.8324753825564043E-15</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8.8388347648318445E-18</v>
      </c>
      <c r="L461" s="298">
        <f t="shared" si="30"/>
        <v>8.8388347648318445E-18</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8.8388347648318454E-17</v>
      </c>
      <c r="L462" s="298">
        <f t="shared" si="30"/>
        <v>8.8388347648318454E-17</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1.4585997765266855E-3</v>
      </c>
      <c r="L468" s="298">
        <f t="shared" ref="L468:L483" si="32">IF(ISBLANK(I468),IF(ISNUMBER(J468)=FALSE,K468,J468),I468)</f>
        <v>1.4585997765266855E-3</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1.4089479710219488E-3</v>
      </c>
      <c r="L469" s="298">
        <f t="shared" si="32"/>
        <v>1.4089479710219488E-3</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0.98675866443346072</v>
      </c>
      <c r="L473" s="298">
        <f t="shared" si="32"/>
        <v>0.98675866443346072</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4.9651805504736618E-5</v>
      </c>
      <c r="L474" s="298">
        <f t="shared" si="32"/>
        <v>4.9651805504736618E-5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0.99137235356505471</v>
      </c>
      <c r="L478" s="298">
        <f t="shared" si="32"/>
        <v>0.99137235356505471</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2.3183001092337172E-10</v>
      </c>
      <c r="L479" s="298">
        <f t="shared" si="32"/>
        <v>2.3183001092337172E-10</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0.98678183620446425</v>
      </c>
      <c r="L483" s="298">
        <f t="shared" si="32"/>
        <v>0.98678183620446425</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1.4447384514633557E-2</v>
      </c>
      <c r="L485" s="298">
        <f t="shared" ref="L485:L506" si="33">IF(ISBLANK(I485),IF(ISNUMBER(J485)=FALSE,K485,J485),I485)</f>
        <v>1.4447384514633557E-2</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4.0849017349283758E-16</v>
      </c>
      <c r="L487" s="298">
        <f t="shared" si="33"/>
        <v>4.0849017349283758E-16</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3.5641198666666671E-16</v>
      </c>
      <c r="L488" s="298">
        <f t="shared" si="33"/>
        <v>3.5641198666666671E-16</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1.4447384514633557E-2</v>
      </c>
      <c r="L490" s="298">
        <f t="shared" si="33"/>
        <v>1.4447384514633557E-2</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4.0849017349283758E-16</v>
      </c>
      <c r="L492" s="298">
        <f t="shared" si="33"/>
        <v>4.0849017349283758E-16</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3.5641198666666671E-16</v>
      </c>
      <c r="L493" s="298">
        <f t="shared" si="33"/>
        <v>3.5641198666666671E-16</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5.0700561046911489E-17</v>
      </c>
      <c r="L495" s="551">
        <f t="shared" si="33"/>
        <v>5.0700561046911489E-17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1.3776257792593853E-18</v>
      </c>
      <c r="L496" s="298">
        <f t="shared" si="33"/>
        <v>1.3776257792593853E-18</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1.0285947308549978E-4</v>
      </c>
      <c r="L497" s="298">
        <f t="shared" si="33"/>
        <v>1.0285947308549978E-4</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5.8165661699554172E-15</v>
      </c>
      <c r="L499" s="298">
        <f t="shared" si="33"/>
        <v>5.8165661699554172E-15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2.6556893866666664E-15</v>
      </c>
      <c r="L500" s="298">
        <f t="shared" si="33"/>
        <v>2.6556893866666664E-15</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1.0285947308549978E-4</v>
      </c>
      <c r="L501" s="298">
        <f t="shared" si="33"/>
        <v>1.0285947308549978E-4</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5.8165661699554172E-15</v>
      </c>
      <c r="L503" s="298">
        <f t="shared" si="33"/>
        <v>5.8165661699554172E-15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2.6556893866666664E-15</v>
      </c>
      <c r="L504" s="298">
        <f t="shared" si="33"/>
        <v>2.6556893866666664E-15</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9.6708820641913631E-18</v>
      </c>
      <c r="L505" s="298">
        <f t="shared" si="33"/>
        <v>9.6708820641913631E-18</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3.1512059012245592E-15</v>
      </c>
      <c r="L506" s="298">
        <f t="shared" si="33"/>
        <v>3.1512059012245592E-15</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3.6837781602881408E-3</v>
      </c>
      <c r="L508" s="298">
        <f t="shared" ref="L508:L525" si="34">IF(ISBLANK(I508),IF(ISNUMBER(J508)=FALSE,K508,J508),I508)</f>
        <v>3.6837781602881408E-3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5.0700561046911489E-17</v>
      </c>
      <c r="L510" s="551">
        <f t="shared" si="34"/>
        <v>5.0700561046911489E-17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1.3776257792593853E-18</v>
      </c>
      <c r="L511" s="298">
        <f t="shared" si="34"/>
        <v>1.3776257792593853E-18</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9.309026459473891E-3</v>
      </c>
      <c r="L512" s="298">
        <f t="shared" si="34"/>
        <v>9.309026459473891E-3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0.70610689588898268</v>
      </c>
      <c r="L515" s="298">
        <f t="shared" si="34"/>
        <v>0.70610689588898268</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3.5241922497177393E-3</v>
      </c>
      <c r="L516" s="298">
        <f t="shared" si="34"/>
        <v>3.5241922497177393E-3</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5.0524657406425956E-4</v>
      </c>
      <c r="L520" s="298">
        <f t="shared" si="34"/>
        <v>5.0524657406425956E-4</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0.70207745706520064</v>
      </c>
      <c r="L521" s="298">
        <f t="shared" si="34"/>
        <v>0.70207745706520064</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2.2187500000000002E-2</v>
      </c>
      <c r="L523" s="298">
        <f t="shared" si="34"/>
        <v>2.2187500000000002E-2</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34035.386845511071</v>
      </c>
      <c r="L524" s="298">
        <f t="shared" si="34"/>
        <v>34035.386845511071</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1.1503631315147487</v>
      </c>
      <c r="L525" s="298">
        <f t="shared" si="34"/>
        <v>1.1503631315147487</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1.8418890801440709E-2</v>
      </c>
      <c r="L527" s="298">
        <f>IF(ISBLANK(I527),IF(ISNUMBER(J527)=FALSE,K527,J527),I527)</f>
        <v>1.8418890801440709E-2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5.0700561046911489E-17</v>
      </c>
      <c r="L530" s="298">
        <f t="shared" ref="L530:L545" si="35">IF(ISBLANK(I530),IF(ISNUMBER(J530)=FALSE,K530,J530),I530)</f>
        <v>5.0700561046911489E-17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1.3776257792593853E-18</v>
      </c>
      <c r="L531" s="298">
        <f t="shared" si="35"/>
        <v>1.3776257792593853E-18</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5.6122465455692577E-3</v>
      </c>
      <c r="L532" s="298">
        <f t="shared" si="35"/>
        <v>5.6122465455692577E-3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0.7094988225509774</v>
      </c>
      <c r="L535" s="298">
        <f t="shared" si="35"/>
        <v>0.7094988225509774</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6.9161189117125273E-3</v>
      </c>
      <c r="L536" s="298">
        <f t="shared" si="35"/>
        <v>6.9161189117125273E-3</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5.0524657406425956E-4</v>
      </c>
      <c r="L540" s="298">
        <f t="shared" si="35"/>
        <v>5.0524657406425956E-4</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0.70207745706520064</v>
      </c>
      <c r="L541" s="298">
        <f t="shared" si="35"/>
        <v>0.70207745706520064</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2.2187500000000002E-2</v>
      </c>
      <c r="L542" s="298">
        <f t="shared" si="35"/>
        <v>2.2187500000000002E-2</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34035.386845511071</v>
      </c>
      <c r="L543" s="298">
        <f t="shared" si="35"/>
        <v>34035.386845511071</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1.1503631315147487</v>
      </c>
      <c r="L545" s="298">
        <f t="shared" si="35"/>
        <v>1.1503631315147487</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2.8400038551638069E-6</v>
      </c>
      <c r="L557" s="298">
        <f>IF(ISBLANK(I557),IF(ISNUMBER(J557)=FALSE,K557,J557),I557)</f>
        <v>2.8400038551638069E-6</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408.00646714232624</v>
      </c>
      <c r="L558" s="298">
        <f>IF(ISBLANK(I558),IF(ISNUMBER(J558)=FALSE,K558,J558),I558)</f>
        <v>408.00646714232624</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9.5950092564945988E-17</v>
      </c>
      <c r="L559" s="298">
        <f>IF(ISBLANK(I559),IF(ISNUMBER(J559)=FALSE,K559,J559),I559)</f>
        <v>9.5950092564945988E-17</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3.91482582894028E-14</v>
      </c>
      <c r="L560" s="298">
        <f>IF(ISBLANK(I560),IF(ISNUMBER(J560)=FALSE,K560,J560),I560)</f>
        <v>3.91482582894028E-14</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1.2613556406943844E-5</v>
      </c>
      <c r="L562" s="298">
        <f t="shared" ref="L562:L593" si="37">IF(ISBLANK(I562),IF(ISNUMBER(J562)=FALSE,K562,J562),I562)</f>
        <v>1.2613556406943844E-5</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4.1349997110521795E-5</v>
      </c>
      <c r="L563" s="298">
        <f t="shared" si="37"/>
        <v>4.1349997110521795E-5</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0.71401386423808844</v>
      </c>
      <c r="L564" s="298">
        <f t="shared" si="37"/>
        <v>0.71401386423808844</v>
      </c>
      <c r="M564" s="567" t="s">
        <v>314</v>
      </c>
      <c r="N564" s="566"/>
      <c r="O564" s="604" t="s">
        <v>1672</v>
      </c>
      <c r="P564" s="566"/>
      <c r="Q564">
        <f>(L552-L565)</f>
        <v>2.4840376904485812</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4.0564347165421885E-4</v>
      </c>
      <c r="L565" s="298">
        <f t="shared" si="37"/>
        <v>4.0564347165421885E-4</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3840837.3616032754</v>
      </c>
      <c r="L566" s="298">
        <f t="shared" si="37"/>
        <v>3840837.3616032754</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7.9706502962882374E-5</v>
      </c>
      <c r="L567" s="298">
        <f t="shared" si="37"/>
        <v>7.9706502962882374E-5</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9.5729346605656032E-2</v>
      </c>
      <c r="L568" s="298">
        <f t="shared" si="37"/>
        <v>9.5729346605656032E-2</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0.20938067234003829</v>
      </c>
      <c r="L569" s="298">
        <f t="shared" si="37"/>
        <v>0.20938067234003829</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0.30518972544865719</v>
      </c>
      <c r="L570" s="298">
        <f t="shared" si="37"/>
        <v>0.30518972544865719</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1.2613869589572035E-5</v>
      </c>
      <c r="L571" s="298">
        <f t="shared" si="37"/>
        <v>1.2613869589572035E-5</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1.0265394005937547</v>
      </c>
      <c r="L572" s="298">
        <f t="shared" si="37"/>
        <v>1.0265394005937547</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3.8469448814034359E-12</v>
      </c>
      <c r="L573" s="298">
        <f t="shared" si="37"/>
        <v>3.8469448814034359E-12</v>
      </c>
      <c r="M573" s="567"/>
      <c r="N573" s="566"/>
      <c r="O573" s="604">
        <f>(kboltz*L374*L572)/(6*PI()*DYNVISC.a*L557)</f>
        <v>3.8469448814034359E-12</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4.1350765328449014E-5</v>
      </c>
      <c r="L574" s="298">
        <f t="shared" si="37"/>
        <v>4.1350765328449014E-5</v>
      </c>
      <c r="M574" s="567" t="s">
        <v>1669</v>
      </c>
      <c r="N574" s="566"/>
      <c r="O574" s="604">
        <f>L572</f>
        <v>1.0265394005937547</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0.71402712732670737</v>
      </c>
      <c r="L575" s="298">
        <f t="shared" si="37"/>
        <v>0.71402712732670737</v>
      </c>
      <c r="M575" s="567" t="s">
        <v>314</v>
      </c>
      <c r="N575" s="566"/>
      <c r="O575" s="604">
        <f>L557</f>
        <v>2.8400038551638069E-6</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4.0565100787208491E-4</v>
      </c>
      <c r="L576" s="298">
        <f t="shared" si="37"/>
        <v>4.0565100787208491E-4</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3840842.7101485422</v>
      </c>
      <c r="L577" s="298">
        <f t="shared" si="37"/>
        <v>3840842.7101485422</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7.970644435684666E-5</v>
      </c>
      <c r="L578" s="298">
        <f t="shared" si="37"/>
        <v>7.970644435684666E-5</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9.5729497370000707E-2</v>
      </c>
      <c r="L579" s="298">
        <f t="shared" si="37"/>
        <v>9.5729497370000707E-2</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0.20938809920538501</v>
      </c>
      <c r="L580" s="298">
        <f t="shared" si="37"/>
        <v>0.20938809920538501</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0.30519730301974257</v>
      </c>
      <c r="L581" s="298">
        <f t="shared" si="37"/>
        <v>0.30519730301974257</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4.2684648194683985E-6</v>
      </c>
      <c r="L583" s="298">
        <f t="shared" si="37"/>
        <v>4.2684648194683985E-6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1.0671158847322381E-2</v>
      </c>
      <c r="L584" s="298">
        <f t="shared" si="37"/>
        <v>1.0671158847322381E-2</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23.413521231505829</v>
      </c>
      <c r="L586" s="298">
        <f t="shared" si="37"/>
        <v>23.413521231505829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4.0773943954132027E-5</v>
      </c>
      <c r="L588" s="298">
        <f t="shared" si="37"/>
        <v>4.0773943954132027E-5</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2.3409835870572904E-3</v>
      </c>
      <c r="L589" s="298">
        <f t="shared" si="37"/>
        <v>2.3409835870572904E-3</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0.22240962872380801</v>
      </c>
      <c r="L593" s="298">
        <f t="shared" si="37"/>
        <v>0.22240962872380801</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4.2684870150562183E-6</v>
      </c>
      <c r="L594" s="298">
        <f t="shared" ref="L594:L625" si="38">IF(ISBLANK(I594),IF(ISNUMBER(J594)=FALSE,K594,J594),I594)</f>
        <v>4.2684870150562183E-6</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1.0671214336275284E-2</v>
      </c>
      <c r="L595" s="298">
        <f t="shared" si="38"/>
        <v>1.0671214336275284E-2</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23.413066191229589</v>
      </c>
      <c r="L596" s="298">
        <f t="shared" si="38"/>
        <v>23.413066191229589</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4.0773906101096116E-5</v>
      </c>
      <c r="L597" s="298">
        <f t="shared" si="38"/>
        <v>4.0773906101096116E-5</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2.3409865527405935E-3</v>
      </c>
      <c r="L598" s="298">
        <f t="shared" si="38"/>
        <v>2.3409865527405935E-3</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0.22241399468699191</v>
      </c>
      <c r="L599" s="298">
        <f t="shared" si="38"/>
        <v>0.22241399468699191</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3.0777514321334656E-7</v>
      </c>
      <c r="L601" s="298">
        <f t="shared" si="38"/>
        <v>3.0777514321334656E-7</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5.129584181346726E-4</v>
      </c>
      <c r="L602" s="298">
        <f t="shared" si="38"/>
        <v>5.129584181346726E-4</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9183.3664791943902</v>
      </c>
      <c r="L604" s="298">
        <f t="shared" si="38"/>
        <v>9183.3664791943902</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5.1025473229461516E-4</v>
      </c>
      <c r="L606" s="298">
        <f t="shared" si="38"/>
        <v>5.1025473229461516E-4</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6.2863841015175319E-5</v>
      </c>
      <c r="L607" s="298">
        <f t="shared" si="38"/>
        <v>6.2863841015175319E-5</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3.077808765283067E-7</v>
      </c>
      <c r="L608" s="298">
        <f t="shared" si="38"/>
        <v>3.077808765283067E-7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5.1296797365673957E-4</v>
      </c>
      <c r="L609" s="298">
        <f t="shared" si="38"/>
        <v>5.1296797365673957E-4</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9183.1911423644742</v>
      </c>
      <c r="L610" s="298">
        <f t="shared" si="38"/>
        <v>9183.1911423644742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5.1025437701822276E-4</v>
      </c>
      <c r="L611" s="298">
        <f t="shared" si="38"/>
        <v>5.1025437701822276E-4</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6.2875138979381928E-5</v>
      </c>
      <c r="L612" s="298">
        <f t="shared" si="38"/>
        <v>6.2875138979381928E-5</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2.6926123984947522E-7</v>
      </c>
      <c r="L620" s="298">
        <f t="shared" si="38"/>
        <v>2.6926123984947522E-7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2.6926123984947522E-7</v>
      </c>
      <c r="L621" s="298">
        <f t="shared" si="38"/>
        <v>2.6926123984947522E-7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4.2904480344144651E-7</v>
      </c>
      <c r="L622" s="298">
        <f t="shared" si="38"/>
        <v>4.2904480344144651E-7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3.3333333333333334E-24</v>
      </c>
      <c r="L623" s="298">
        <f t="shared" si="38"/>
        <v>3.3333333333333334E-24</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3.3333333333333334E-24</v>
      </c>
      <c r="L624" s="298">
        <f t="shared" si="38"/>
        <v>3.3333333333333334E-24</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5.3261187863990454E-9</v>
      </c>
      <c r="L625" s="298">
        <f t="shared" si="38"/>
        <v>5.3261187863990454E-9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35">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35">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5.6604965916500168E-6</v>
      </c>
      <c r="L722" s="298">
        <f t="shared" ref="L722:L729" si="46">IF(ISBLANK(I722),IF(ISNUMBER(J722)=FALSE,K722,J722),I722)</f>
        <v>5.6604965916500168E-6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2.4259271107051187E-6</v>
      </c>
      <c r="L723" s="298">
        <f t="shared" si="46"/>
        <v>2.4259271107051187E-6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5.0805230836506763E-25</v>
      </c>
      <c r="L724" s="298">
        <f t="shared" si="46"/>
        <v>5.0805230836506763E-25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8.8174552019941576E-24</v>
      </c>
      <c r="L725" s="298">
        <f t="shared" si="46"/>
        <v>8.8174552019941576E-24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8.0864237023486362E-6</v>
      </c>
      <c r="L726" s="298">
        <f t="shared" si="46"/>
        <v>8.0864237023486362E-6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8.4861474571203833E-6</v>
      </c>
      <c r="L727" s="298">
        <f t="shared" si="46"/>
        <v>8.4861474571203833E-6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1.3997237547700693E-6</v>
      </c>
      <c r="L728" s="298">
        <f t="shared" si="46"/>
        <v>1.3997237547700693E-6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8.530646007795427E-15</v>
      </c>
      <c r="L738" s="298">
        <f t="shared" si="47"/>
        <v>8.530646007795427E-15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1.758012724309817E-15</v>
      </c>
      <c r="L739" s="298">
        <f t="shared" si="47"/>
        <v>1.758012724309817E-15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5.0805230836506764E-23</v>
      </c>
      <c r="L740" s="298">
        <f t="shared" si="47"/>
        <v>5.0805230836506764E-23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4.4087276009970792E-25</v>
      </c>
      <c r="L741" s="298">
        <f t="shared" si="47"/>
        <v>4.4087276009970792E-25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5.0841810602709056E-3</v>
      </c>
      <c r="L742" s="298">
        <f t="shared" si="47"/>
        <v>5.0841810602709056E-3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5.7304969829151961E-6</v>
      </c>
      <c r="L743" s="298">
        <f t="shared" si="47"/>
        <v>5.7304969829151961E-6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1.0000000000000001E-16</v>
      </c>
      <c r="L746" s="298">
        <f t="shared" si="47"/>
        <v>1.0000000000000001E-16</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9.9928051802702045E-14</v>
      </c>
      <c r="L770" s="298">
        <f t="shared" si="49"/>
        <v>9.9928051802702045E-14</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9.9928051802702045E-14</v>
      </c>
      <c r="L771" s="298">
        <f t="shared" si="49"/>
        <v>9.9928051802702045E-14</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2.114086132250983E-12</v>
      </c>
      <c r="L772" s="298">
        <f t="shared" si="49"/>
        <v>2.114086132250983E-12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5.8437810560371292E-11</v>
      </c>
      <c r="L773" s="298">
        <f t="shared" si="49"/>
        <v>5.8437810560371292E-11</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9.9928051802702045E-14</v>
      </c>
      <c r="L778" s="298">
        <f t="shared" si="49"/>
        <v>9.9928051802702045E-14</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9.9928051802702045E-14</v>
      </c>
      <c r="L779" s="298">
        <f t="shared" si="49"/>
        <v>9.9928051802702045E-14</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9.9999999999999998E-17</v>
      </c>
      <c r="L783" s="298">
        <f t="shared" si="49"/>
        <v>9.9999999999999998E-17</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1.0000000000000001E-15</v>
      </c>
      <c r="L784" s="298">
        <f t="shared" si="49"/>
        <v>1.0000000000000001E-15</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1.6513172257673972E-3</v>
      </c>
      <c r="L790" s="298">
        <f t="shared" ref="L790:L805" si="50">IF(ISBLANK(I790),IF(ISNUMBER(J790)=FALSE,K790,J790),I790)</f>
        <v>1.6513172257673972E-3</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1.5950890386301133E-3</v>
      </c>
      <c r="L791" s="298">
        <f t="shared" si="50"/>
        <v>1.5950890386301133E-3</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0.98591711890636391</v>
      </c>
      <c r="L795" s="298">
        <f t="shared" si="50"/>
        <v>0.98591711890636391</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5.6228187137283992E-5</v>
      </c>
      <c r="L796" s="298">
        <f t="shared" si="50"/>
        <v>5.6228187137283992E-5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0.99082127683757315</v>
      </c>
      <c r="L800" s="298">
        <f t="shared" si="50"/>
        <v>0.99082127683757315</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2.624265454907231E-10</v>
      </c>
      <c r="L801" s="298">
        <f t="shared" si="50"/>
        <v>2.624265454907231E-10</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0.98582252946259585</v>
      </c>
      <c r="L805" s="298">
        <f t="shared" si="50"/>
        <v>0.98582252946259585</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1.4686018711325736E-2</v>
      </c>
      <c r="L807" s="298">
        <f t="shared" ref="L807:L828" si="51">IF(ISBLANK(I807),IF(ISNUMBER(J807)=FALSE,K807,J807),I807)</f>
        <v>1.4686018711325736E-2</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4.1523739644584867E-16</v>
      </c>
      <c r="L809" s="298">
        <f t="shared" si="51"/>
        <v>4.1523739644584867E-16</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3.5641198666666671E-16</v>
      </c>
      <c r="L810" s="298">
        <f t="shared" si="51"/>
        <v>3.5641198666666671E-16</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1.4686018711325736E-2</v>
      </c>
      <c r="L812" s="298">
        <f t="shared" si="51"/>
        <v>1.4686018711325736E-2</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4.1523739644584867E-16</v>
      </c>
      <c r="L814" s="298">
        <f t="shared" si="51"/>
        <v>4.1523739644584867E-16</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3.5641198666666671E-16</v>
      </c>
      <c r="L815" s="298">
        <f t="shared" si="51"/>
        <v>3.5641198666666671E-16</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5.7447783999922543E-17</v>
      </c>
      <c r="L817" s="551">
        <f t="shared" si="51"/>
        <v>5.7447783999922543E-17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1.3776257792593853E-18</v>
      </c>
      <c r="L818" s="298">
        <f t="shared" si="51"/>
        <v>1.3776257792593853E-18</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1.0288223223377189E-4</v>
      </c>
      <c r="L819" s="298">
        <f t="shared" si="51"/>
        <v>1.0288223223377189E-4</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5.8178531694696629E-15</v>
      </c>
      <c r="L821" s="298">
        <f t="shared" si="51"/>
        <v>5.8178531694696629E-15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2.6556893866666664E-15</v>
      </c>
      <c r="L822" s="298">
        <f t="shared" si="51"/>
        <v>2.6556893866666664E-15</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1.0288223223377189E-4</v>
      </c>
      <c r="L823" s="298">
        <f t="shared" si="51"/>
        <v>1.0288223223377189E-4</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5.8178531694696629E-15</v>
      </c>
      <c r="L825" s="298">
        <f t="shared" si="51"/>
        <v>5.8178531694696629E-15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2.6556893866666664E-15</v>
      </c>
      <c r="L826" s="298">
        <f t="shared" si="51"/>
        <v>2.6556893866666664E-15</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1.0957881578437366E-17</v>
      </c>
      <c r="L827" s="298">
        <f t="shared" si="51"/>
        <v>1.0957881578437366E-17</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3.1512059012245592E-15</v>
      </c>
      <c r="L828" s="298">
        <f t="shared" si="51"/>
        <v>3.1512059012245592E-15</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4.1610465536724983E-3</v>
      </c>
      <c r="L830" s="298">
        <f t="shared" ref="L830:L847" si="52">IF(ISBLANK(I830),IF(ISNUMBER(J830)=FALSE,K830,J830),I830)</f>
        <v>4.1610465536724983E-3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5.7447783999922543E-17</v>
      </c>
      <c r="L832" s="551">
        <f t="shared" si="52"/>
        <v>5.7447783999922543E-17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1.3776257792593853E-18</v>
      </c>
      <c r="L833" s="298">
        <f t="shared" si="52"/>
        <v>1.3776257792593853E-18</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9.2519444989155476E-3</v>
      </c>
      <c r="L834" s="298">
        <f t="shared" si="52"/>
        <v>9.2519444989155476E-3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0.70177712347329801</v>
      </c>
      <c r="L837" s="298">
        <f t="shared" si="52"/>
        <v>0.70177712347329801</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3.8280716078637469E-3</v>
      </c>
      <c r="L838" s="298">
        <f t="shared" si="52"/>
        <v>3.8280716078637469E-3</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5.0524657406425966E-4</v>
      </c>
      <c r="L842" s="298">
        <f t="shared" si="52"/>
        <v>5.0524657406425966E-4</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0.69744380529136996</v>
      </c>
      <c r="L843" s="298">
        <f t="shared" si="52"/>
        <v>0.69744380529136996</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2.2187500000000002E-2</v>
      </c>
      <c r="L845" s="298">
        <f t="shared" si="52"/>
        <v>2.2187500000000002E-2</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30037.942081776542</v>
      </c>
      <c r="L846" s="298">
        <f t="shared" si="52"/>
        <v>30037.942081776542</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1.1503631315147487</v>
      </c>
      <c r="L847" s="298">
        <f t="shared" si="52"/>
        <v>1.1503631315147487</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2.0805232768362499E-2</v>
      </c>
      <c r="L849" s="298">
        <f>IF(ISBLANK(I849),IF(ISNUMBER(J849)=FALSE,K849,J849),I849)</f>
        <v>2.0805232768362499E-2</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5.7447783999922543E-17</v>
      </c>
      <c r="L852" s="298">
        <f t="shared" ref="L852:L867" si="53">IF(ISBLANK(I852),IF(ISNUMBER(J852)=FALSE,K852,J852),I852)</f>
        <v>5.7447783999922543E-17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1.3776257792593853E-18</v>
      </c>
      <c r="L853" s="298">
        <f t="shared" si="53"/>
        <v>1.3776257792593853E-18</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5.580310888521945E-3</v>
      </c>
      <c r="L854" s="298">
        <f t="shared" si="53"/>
        <v>5.580310888521945E-3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0.70546152467240342</v>
      </c>
      <c r="L857" s="298">
        <f t="shared" si="53"/>
        <v>0.70546152467240342</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7.5124728069692346E-3</v>
      </c>
      <c r="L858" s="298">
        <f t="shared" si="53"/>
        <v>7.5124728069692346E-3</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5.0524657406425966E-4</v>
      </c>
      <c r="L862" s="298">
        <f t="shared" si="53"/>
        <v>5.0524657406425966E-4</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0.69744380529136996</v>
      </c>
      <c r="L863" s="298">
        <f t="shared" si="53"/>
        <v>0.69744380529136996</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2.2187500000000002E-2</v>
      </c>
      <c r="L864" s="298">
        <f t="shared" si="53"/>
        <v>2.2187500000000002E-2</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30037.942081776542</v>
      </c>
      <c r="L865" s="298">
        <f t="shared" si="53"/>
        <v>30037.942081776542</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1.1503631315147487</v>
      </c>
      <c r="L867" s="298">
        <f t="shared" si="53"/>
        <v>1.1503631315147487</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2.8400038551638069E-6</v>
      </c>
      <c r="L879" s="298">
        <f>IF(ISBLANK(I879),IF(ISNUMBER(J879)=FALSE,K879,J879),I879)</f>
        <v>2.8400038551638069E-6</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408.00646714232624</v>
      </c>
      <c r="L880" s="298">
        <f>IF(ISBLANK(I880),IF(ISNUMBER(J880)=FALSE,K880,J880),I880)</f>
        <v>408.00646714232624</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9.5950092564945988E-17</v>
      </c>
      <c r="L881" s="298">
        <f>IF(ISBLANK(I881),IF(ISNUMBER(J881)=FALSE,K881,J881),I881)</f>
        <v>9.5950092564945988E-17</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3.91482582894028E-14</v>
      </c>
      <c r="L882" s="298">
        <f>IF(ISBLANK(I882),IF(ISNUMBER(J882)=FALSE,K882,J882),I882)</f>
        <v>3.91482582894028E-14</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6.6145620190586439E-5</v>
      </c>
      <c r="L884" s="298">
        <f t="shared" ref="L884:L915" si="55">IF(ISBLANK(I884),IF(ISNUMBER(J884)=FALSE,K884,J884),I884)</f>
        <v>6.6145620190586439E-5</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4.1349997110521795E-5</v>
      </c>
      <c r="L885" s="298">
        <f t="shared" si="55"/>
        <v>4.1349997110521795E-5</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1.0783191016027183</v>
      </c>
      <c r="L886" s="298">
        <f t="shared" si="55"/>
        <v>1.0783191016027183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4.0564347165421885E-4</v>
      </c>
      <c r="L887" s="298">
        <f t="shared" si="55"/>
        <v>4.0564347165421885E-4</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3389732.3023545686</v>
      </c>
      <c r="L888" s="298">
        <f t="shared" si="55"/>
        <v>3389732.3023545686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4.587131495948391E-5</v>
      </c>
      <c r="L889" s="298">
        <f t="shared" si="55"/>
        <v>4.587131495948391E-5</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6.57174402401694E-2</v>
      </c>
      <c r="L890" s="298">
        <f t="shared" si="55"/>
        <v>6.57174402401694E-2</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0.39899903946682802</v>
      </c>
      <c r="L891" s="298">
        <f t="shared" si="55"/>
        <v>0.39899903946682802</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0.4647623510219569</v>
      </c>
      <c r="L892" s="298">
        <f t="shared" si="55"/>
        <v>0.4647623510219569</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6.6146625982055525E-5</v>
      </c>
      <c r="L893" s="298">
        <f t="shared" si="55"/>
        <v>6.6146625982055525E-5</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1.0265394005937547</v>
      </c>
      <c r="L894" s="298">
        <f t="shared" si="55"/>
        <v>1.0265394005937547</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4.3588957211339322E-12</v>
      </c>
      <c r="L895" s="298">
        <f t="shared" si="55"/>
        <v>4.3588957211339322E-12</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4.1350765328449014E-5</v>
      </c>
      <c r="L896" s="298">
        <f t="shared" si="55"/>
        <v>4.1350765328449014E-5</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1.0783391336415393</v>
      </c>
      <c r="L897" s="298">
        <f t="shared" si="55"/>
        <v>1.0783391336415393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4.0565100787208491E-4</v>
      </c>
      <c r="L898" s="298">
        <f t="shared" si="55"/>
        <v>4.0565100787208491E-4</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3389737.0227149874</v>
      </c>
      <c r="L899" s="298">
        <f t="shared" si="55"/>
        <v>3389737.0227149874</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4.587128120755344E-5</v>
      </c>
      <c r="L900" s="298">
        <f t="shared" si="55"/>
        <v>4.587128120755344E-5</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6.5717546388080403E-2</v>
      </c>
      <c r="L901" s="298">
        <f t="shared" si="55"/>
        <v>6.5717546388080403E-2</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0.39900600039666162</v>
      </c>
      <c r="L902" s="298">
        <f t="shared" si="55"/>
        <v>0.39900600039666162</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0.46476941806594957</v>
      </c>
      <c r="L903" s="298">
        <f t="shared" si="55"/>
        <v>0.46476941806594957</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3.460416717131279E-6</v>
      </c>
      <c r="L905" s="298">
        <f t="shared" si="55"/>
        <v>3.460416717131279E-6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1.1534718930020877E-2</v>
      </c>
      <c r="L906" s="298">
        <f t="shared" si="55"/>
        <v>1.1534718930020877E-2</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15.854723668731717</v>
      </c>
      <c r="L908" s="298">
        <f t="shared" si="55"/>
        <v>15.854723668731717</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4.4315576018366291E-5</v>
      </c>
      <c r="L910" s="298">
        <f t="shared" si="55"/>
        <v>4.4315576018366291E-5</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2.3409835870572904E-3</v>
      </c>
      <c r="L911" s="298">
        <f t="shared" si="55"/>
        <v>2.3409835870572904E-3</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0.32957620358557888</v>
      </c>
      <c r="L915" s="298">
        <f t="shared" si="55"/>
        <v>0.32957620358557888</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3.4604282383974813E-6</v>
      </c>
      <c r="L916" s="298">
        <f t="shared" ref="L916:L947" si="56">IF(ISBLANK(I916),IF(ISNUMBER(J916)=FALSE,K916,J916),I916)</f>
        <v>3.4604282383974813E-6</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1.1534757334230032E-2</v>
      </c>
      <c r="L917" s="298">
        <f t="shared" si="56"/>
        <v>1.1534757334230032E-2</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15.854474445232007</v>
      </c>
      <c r="L918" s="298">
        <f t="shared" si="56"/>
        <v>15.854474445232007</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4.4315534877408917E-5</v>
      </c>
      <c r="L919" s="298">
        <f t="shared" si="56"/>
        <v>4.4315534877408917E-5</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2.3409865527405935E-3</v>
      </c>
      <c r="L920" s="298">
        <f t="shared" si="56"/>
        <v>2.3409865527405935E-3</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0.32958141891079745</v>
      </c>
      <c r="L921" s="298">
        <f t="shared" si="56"/>
        <v>0.32958141891079745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5.6028930032318553E-7</v>
      </c>
      <c r="L923" s="298">
        <f t="shared" si="56"/>
        <v>5.6028930032318553E-7</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8.0041304605199342E-4</v>
      </c>
      <c r="L924" s="298">
        <f t="shared" si="56"/>
        <v>8.0041304605199342E-4</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2398.1232821716594</v>
      </c>
      <c r="L926" s="298">
        <f t="shared" si="56"/>
        <v>2398.1232821716594</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5.431468923184561E-4</v>
      </c>
      <c r="L928" s="298">
        <f t="shared" si="56"/>
        <v>5.431468923184561E-4</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1.6515517430122112E-3</v>
      </c>
      <c r="L929" s="298">
        <f t="shared" si="56"/>
        <v>1.6515517430122112E-3</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5.6031795980117923E-7</v>
      </c>
      <c r="L930" s="298">
        <f t="shared" si="56"/>
        <v>5.6031795980117923E-7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8.0045398815113049E-4</v>
      </c>
      <c r="L931" s="298">
        <f t="shared" si="56"/>
        <v>8.0045398815113049E-4</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2397.9089443377629</v>
      </c>
      <c r="L932" s="298">
        <f t="shared" si="56"/>
        <v>2397.9089443377629</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5.4314651414015384E-4</v>
      </c>
      <c r="L933" s="298">
        <f t="shared" si="56"/>
        <v>5.4314651414015384E-4</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1.6517482950079818E-3</v>
      </c>
      <c r="L934" s="298">
        <f t="shared" si="56"/>
        <v>1.6517482950079818E-3</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2.2724443312678617E-7</v>
      </c>
      <c r="L942" s="298">
        <f t="shared" si="56"/>
        <v>2.2724443312678617E-7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2.2724443312678617E-7</v>
      </c>
      <c r="L943" s="298">
        <f t="shared" si="56"/>
        <v>2.2724443312678617E-7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3.8702799671875741E-7</v>
      </c>
      <c r="L944" s="298">
        <f t="shared" si="56"/>
        <v>3.8702799671875741E-7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3.3333333333333334E-24</v>
      </c>
      <c r="L945" s="298">
        <f t="shared" si="56"/>
        <v>3.3333333333333334E-24</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3.3333333333333334E-24</v>
      </c>
      <c r="L946" s="298">
        <f t="shared" si="56"/>
        <v>3.3333333333333334E-24</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5.3261187863990462E-9</v>
      </c>
      <c r="L947" s="298">
        <f t="shared" si="56"/>
        <v>5.3261187863990462E-9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3" priority="32" operator="equal">
      <formula>0</formula>
    </cfRule>
  </conditionalFormatting>
  <conditionalFormatting sqref="K78:K85">
    <cfRule type="cellIs" dxfId="42" priority="27" operator="equal">
      <formula>0</formula>
    </cfRule>
  </conditionalFormatting>
  <conditionalFormatting sqref="K88:K103">
    <cfRule type="cellIs" dxfId="41" priority="26" operator="equal">
      <formula>0</formula>
    </cfRule>
  </conditionalFormatting>
  <conditionalFormatting sqref="K400:K407 K410:K425">
    <cfRule type="cellIs" dxfId="40" priority="18" operator="equal">
      <formula>0</formula>
    </cfRule>
  </conditionalFormatting>
  <conditionalFormatting sqref="K427:K438">
    <cfRule type="cellIs" dxfId="39" priority="15" operator="equal">
      <formula>0</formula>
    </cfRule>
  </conditionalFormatting>
  <conditionalFormatting sqref="K447:K464">
    <cfRule type="cellIs" dxfId="38"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85" zoomScaleNormal="85" workbookViewId="0">
      <pane xSplit="2" ySplit="8" topLeftCell="C9" activePane="bottomRight" state="frozen"/>
      <selection pane="topRight" activeCell="C1" sqref="C1"/>
      <selection pane="bottomLeft" activeCell="A9" sqref="A9"/>
      <selection pane="bottomRight" activeCell="T37" sqref="T37"/>
    </sheetView>
  </sheetViews>
  <sheetFormatPr defaultColWidth="9.109375" defaultRowHeight="12.75" customHeight="1" x14ac:dyDescent="0.3"/>
  <cols>
    <col min="1" max="1" width="2.109375" customWidth="1" collapsed="1"/>
    <col min="2" max="2" width="23.109375" customWidth="1" collapsed="1"/>
    <col min="3" max="10" width="9.109375" customWidth="1" collapsed="1"/>
    <col min="11" max="14" width="9.109375" style="176" customWidth="1" collapsed="1"/>
    <col min="15" max="53" width="9.109375" customWidth="1" collapsed="1"/>
    <col min="54" max="57" width="9.109375" style="176" customWidth="1" collapsed="1"/>
    <col min="58" max="158" width="9.109375" customWidth="1" collapsed="1"/>
    <col min="159" max="159" width="9.109375" collapsed="1"/>
    <col min="160" max="160" width="9.33203125" bestFit="1" customWidth="1" collapsed="1"/>
    <col min="161" max="251" width="9.109375" collapsed="1"/>
    <col min="257" max="16384" width="9.10937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3.203009291289352</v>
      </c>
      <c r="F5" s="355">
        <v>0</v>
      </c>
      <c r="G5" s="355">
        <v>0</v>
      </c>
      <c r="H5" s="355">
        <v>0</v>
      </c>
      <c r="I5" s="355">
        <v>0</v>
      </c>
      <c r="J5" s="355">
        <v>0</v>
      </c>
      <c r="K5" s="182">
        <f>E.w0RD</f>
        <v>0</v>
      </c>
      <c r="L5" s="182">
        <f>E.w0RS</f>
        <v>0</v>
      </c>
      <c r="M5" s="355">
        <v>0</v>
      </c>
      <c r="N5" s="355">
        <v>0</v>
      </c>
      <c r="O5" s="182">
        <f>E.w1RD</f>
        <v>0</v>
      </c>
      <c r="P5" s="182">
        <f>E.w1RS</f>
        <v>3.203009291289352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3.203009291289352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-1.6286326217720998E-5</v>
      </c>
      <c r="E9" s="358">
        <v>0</v>
      </c>
      <c r="F9" s="358">
        <v>0</v>
      </c>
      <c r="G9" s="363">
        <v>0</v>
      </c>
      <c r="H9" s="358">
        <v>0</v>
      </c>
      <c r="I9" s="358">
        <v>0</v>
      </c>
      <c r="J9" s="358">
        <v>0</v>
      </c>
      <c r="K9" s="180">
        <f>k.w0RD.aRG</f>
        <v>5.7489622373400747E-28</v>
      </c>
      <c r="L9" s="180">
        <v>0</v>
      </c>
      <c r="M9" s="180">
        <v>0</v>
      </c>
      <c r="N9" s="180">
        <v>0</v>
      </c>
      <c r="O9" s="393">
        <f>k.w1RD.aRG</f>
        <v>1.9135468517962959E-26</v>
      </c>
      <c r="P9" s="393">
        <v>0</v>
      </c>
      <c r="Q9" s="393">
        <v>0</v>
      </c>
      <c r="R9" s="393">
        <v>0</v>
      </c>
      <c r="S9" s="180">
        <f>k.w2RD.aRG</f>
        <v>5.7463770656568837E-27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9.9730720028708376E-27</v>
      </c>
      <c r="AJ9" s="180">
        <v>0</v>
      </c>
      <c r="AK9" s="180">
        <v>0</v>
      </c>
      <c r="AL9" s="180">
        <v>0</v>
      </c>
      <c r="AM9" s="180">
        <f>k.s2RD.aRG</f>
        <v>4.5382886401294102E-27</v>
      </c>
      <c r="AN9" s="180">
        <v>0</v>
      </c>
      <c r="AO9" s="180">
        <v>0</v>
      </c>
      <c r="AP9" s="180">
        <v>0</v>
      </c>
      <c r="AQ9" s="180">
        <f>k.s3RD.aRG</f>
        <v>9.9730720028708376E-27</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-1.6366203391110746E-3</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1.5797647583020533E-3</v>
      </c>
      <c r="F11" s="189">
        <f>-SUM(F$9:F10,F12:F$163)-k.aRA</f>
        <v>-5.6554480770715232E-5</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2.5106717516252995E-10</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3.6544774994182606E-5</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3.6547979845976371E-5</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1.7089774649087998E-8</v>
      </c>
      <c r="E16" s="185">
        <v>0</v>
      </c>
      <c r="F16" s="185">
        <v>0</v>
      </c>
      <c r="G16" s="184">
        <v>0</v>
      </c>
      <c r="H16" s="185">
        <v>0</v>
      </c>
      <c r="I16" s="185">
        <v>0</v>
      </c>
      <c r="J16" s="185">
        <v>0</v>
      </c>
      <c r="K16" s="368">
        <f>-k.w0RD-SUM(K9:K15,K17:K163)</f>
        <v>-2.4766875729582785E-9</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1.5202926344200006E-9</v>
      </c>
      <c r="F17" s="185">
        <v>0</v>
      </c>
      <c r="G17" s="184">
        <v>0</v>
      </c>
      <c r="H17" s="185">
        <f>k.cwRS.w0RS</f>
        <v>1.8416810158380553E-7</v>
      </c>
      <c r="I17" s="185">
        <v>0</v>
      </c>
      <c r="J17" s="185">
        <v>0</v>
      </c>
      <c r="K17" s="370">
        <v>0</v>
      </c>
      <c r="L17" s="189">
        <f>-SUM(L$9:L16,L18:L$163)-k.w0RS</f>
        <v>-3.2585219510680941E-4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7.6320642425443998E-10</v>
      </c>
      <c r="G18" s="184">
        <v>0</v>
      </c>
      <c r="H18" s="185">
        <v>0</v>
      </c>
      <c r="I18" s="185">
        <f>k.cwRA.w0RA</f>
        <v>1.8416810158380553E-7</v>
      </c>
      <c r="J18" s="185">
        <v>0</v>
      </c>
      <c r="K18" s="370">
        <v>0</v>
      </c>
      <c r="L18" s="184">
        <f>k.w0RS.w0RA</f>
        <v>3.2524372615138172E-4</v>
      </c>
      <c r="M18" s="189">
        <f>-SUM(M$9:M17,M19:M$163)-k.w0RA</f>
        <v>-2.3972602739727026E-9</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6.0607169515373884E-7</v>
      </c>
      <c r="M19" s="367">
        <v>0</v>
      </c>
      <c r="N19" s="189">
        <f>-SUM(N$9:N18,N20:N$163)-k.w0RP</f>
        <v>-1.6218082386594397E-7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1.8798752113996797E-7</v>
      </c>
      <c r="E20" s="185">
        <v>0</v>
      </c>
      <c r="F20" s="185">
        <v>0</v>
      </c>
      <c r="G20" s="184">
        <v>0</v>
      </c>
      <c r="H20" s="337">
        <v>0</v>
      </c>
      <c r="I20" s="337">
        <v>0</v>
      </c>
      <c r="J20" s="337">
        <v>0</v>
      </c>
      <c r="K20" s="337">
        <f>k.w0R.w1R</f>
        <v>2.3972602739726025E-9</v>
      </c>
      <c r="L20" s="337">
        <v>0</v>
      </c>
      <c r="M20" s="337">
        <v>0</v>
      </c>
      <c r="N20" s="337">
        <v>0</v>
      </c>
      <c r="O20" s="371">
        <f>-k.w1RD-SUM(O9:O19,O21:O163)</f>
        <v>-9.8629886529859872E-8</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1.6723218978620009E-8</v>
      </c>
      <c r="F21" s="185">
        <v>0</v>
      </c>
      <c r="G21" s="184">
        <v>0</v>
      </c>
      <c r="H21" s="337">
        <f>k.cwRS.w1RS</f>
        <v>2.0258491174218609E-6</v>
      </c>
      <c r="I21" s="337">
        <v>0</v>
      </c>
      <c r="J21" s="337">
        <v>0</v>
      </c>
      <c r="K21" s="337">
        <v>0</v>
      </c>
      <c r="L21" s="337">
        <f>k.w0R.w1R</f>
        <v>2.3972602739726025E-9</v>
      </c>
      <c r="M21" s="337">
        <v>0</v>
      </c>
      <c r="N21" s="337">
        <v>0</v>
      </c>
      <c r="O21" s="374">
        <v>0</v>
      </c>
      <c r="P21" s="189">
        <f>-k.w1RS-SUM(P$9:P20,P22:P$163)</f>
        <v>-1.2962418812158856E-2</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8.39527066679884E-9</v>
      </c>
      <c r="G22" s="184">
        <v>0</v>
      </c>
      <c r="H22" s="337">
        <v>0</v>
      </c>
      <c r="I22" s="337">
        <f>k.cwRA.w1RA</f>
        <v>2.0258491174218609E-6</v>
      </c>
      <c r="J22" s="337">
        <v>0</v>
      </c>
      <c r="K22" s="337">
        <v>0</v>
      </c>
      <c r="L22" s="337">
        <v>0</v>
      </c>
      <c r="M22" s="337">
        <f>k.w0R.w1R</f>
        <v>2.3972602739726025E-9</v>
      </c>
      <c r="N22" s="337">
        <v>0</v>
      </c>
      <c r="O22" s="374">
        <v>0</v>
      </c>
      <c r="P22" s="338">
        <f>k.w1RS.w1RA</f>
        <v>1.2804684206295972E-2</v>
      </c>
      <c r="Q22" s="189">
        <f>-k.w1RA-SUM(Q$9:Q21,Q23:Q$163)</f>
        <v>-7.2644250726445835E-8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1.5766196161215779E-4</v>
      </c>
      <c r="Q23" s="377">
        <v>0</v>
      </c>
      <c r="R23" s="189">
        <f>-k.w1RP-SUM(R$9:R22,R24:R$163)</f>
        <v>-5.3987630371254883E-6</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2.9907292556482506E-8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-1.3747190353965525E-6</v>
      </c>
      <c r="T24" s="369">
        <f>kdis.w2S.w2D</f>
        <v>0</v>
      </c>
      <c r="U24" s="369">
        <f>kdis.w2A.w2D</f>
        <v>0</v>
      </c>
      <c r="V24" s="365">
        <f>kdis.w2P.w2D</f>
        <v>0</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2.6494856859317514E-9</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-1.4701626785842253E-2</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1.3245688943540977E-9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1.4597383152554355E-2</v>
      </c>
      <c r="U26" s="440">
        <f>-k.w2RA-SUM(U$9:U25,U27:U$163)</f>
        <v>-1.3698544520547939E-6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1.0287377883584224E-4</v>
      </c>
      <c r="U27" s="367">
        <v>0</v>
      </c>
      <c r="V27" s="440">
        <f>-k.w2RP-SUM(V$9:V26,V28:V$163)</f>
        <v>-2.9676900879745069E-6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-2.8953682969968596E-9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9.9999999999999993E-23</v>
      </c>
      <c r="M29" s="185">
        <v>0</v>
      </c>
      <c r="N29" s="185">
        <v>0</v>
      </c>
      <c r="O29" s="337">
        <v>0</v>
      </c>
      <c r="P29" s="337">
        <v>0</v>
      </c>
      <c r="Q29" s="337">
        <v>0</v>
      </c>
      <c r="R29" s="337">
        <v>0</v>
      </c>
      <c r="S29" s="184">
        <v>0</v>
      </c>
      <c r="T29" s="184">
        <v>0</v>
      </c>
      <c r="U29" s="184">
        <v>0</v>
      </c>
      <c r="V29" s="184">
        <v>0</v>
      </c>
      <c r="W29" s="370">
        <v>0</v>
      </c>
      <c r="X29" s="189">
        <f>-k.sd0RS-SUM(X$9:X28,X30:X$163)</f>
        <v>-1.3256042978881722E-3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9.9999999999999993E-23</v>
      </c>
      <c r="N30" s="185">
        <v>0</v>
      </c>
      <c r="O30" s="337">
        <v>0</v>
      </c>
      <c r="P30" s="337">
        <v>0</v>
      </c>
      <c r="Q30" s="337">
        <v>0</v>
      </c>
      <c r="R30" s="337">
        <v>0</v>
      </c>
      <c r="S30" s="184">
        <v>0</v>
      </c>
      <c r="T30" s="184">
        <v>0</v>
      </c>
      <c r="U30" s="184">
        <v>0</v>
      </c>
      <c r="V30" s="184">
        <v>0</v>
      </c>
      <c r="W30" s="370">
        <v>0</v>
      </c>
      <c r="X30" s="184">
        <f>k.sd0RS.sd0RA</f>
        <v>3.9837754361297364E-4</v>
      </c>
      <c r="Y30" s="189">
        <f>-k.sd0RA-SUM(Y$9:Y29,Y31:Y$163)</f>
        <v>-2.8953682563842399E-9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1.5978356359197137E-7</v>
      </c>
      <c r="O31" s="337">
        <v>0</v>
      </c>
      <c r="P31" s="337">
        <v>0</v>
      </c>
      <c r="Q31" s="337">
        <v>0</v>
      </c>
      <c r="R31" s="337">
        <v>0</v>
      </c>
      <c r="S31" s="184">
        <v>0</v>
      </c>
      <c r="T31" s="184">
        <v>0</v>
      </c>
      <c r="U31" s="184">
        <v>0</v>
      </c>
      <c r="V31" s="184">
        <v>0</v>
      </c>
      <c r="W31" s="366">
        <v>0</v>
      </c>
      <c r="X31" s="367">
        <f>k.sd0RS.sd0RP</f>
        <v>9.2722385890694223E-4</v>
      </c>
      <c r="Y31" s="367">
        <v>0</v>
      </c>
      <c r="Z31" s="189">
        <f>-k.sd0RP-SUM(Z$9:Z30,Z32:Z$163)</f>
        <v>-2.8953682563842399E-9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-6.4946530952999239E-8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3.3333333333333333E-21</v>
      </c>
      <c r="Q33" s="185">
        <v>0</v>
      </c>
      <c r="R33" s="184">
        <v>0</v>
      </c>
      <c r="S33" s="190">
        <v>0</v>
      </c>
      <c r="T33" s="190">
        <v>0</v>
      </c>
      <c r="U33" s="190">
        <v>0</v>
      </c>
      <c r="V33" s="190">
        <v>0</v>
      </c>
      <c r="W33" s="190">
        <v>0</v>
      </c>
      <c r="X33" s="190">
        <v>0</v>
      </c>
      <c r="Y33" s="190">
        <v>0</v>
      </c>
      <c r="Z33" s="190">
        <v>0</v>
      </c>
      <c r="AA33" s="370">
        <v>0</v>
      </c>
      <c r="AB33" s="189">
        <f>-k.sd1RS-SUM(AB$9:AB32,AB34:AB$163)</f>
        <v>-1.3256308129390776E-3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3.3333333333333333E-21</v>
      </c>
      <c r="R34" s="184">
        <v>0</v>
      </c>
      <c r="S34" s="190">
        <v>0</v>
      </c>
      <c r="T34" s="190">
        <v>0</v>
      </c>
      <c r="U34" s="190">
        <v>0</v>
      </c>
      <c r="V34" s="190">
        <v>0</v>
      </c>
      <c r="W34" s="190">
        <v>0</v>
      </c>
      <c r="X34" s="190">
        <v>0</v>
      </c>
      <c r="Y34" s="190">
        <v>0</v>
      </c>
      <c r="Z34" s="190">
        <v>0</v>
      </c>
      <c r="AA34" s="370">
        <v>0</v>
      </c>
      <c r="AB34" s="184">
        <f>k.sd1RS.sd1RA</f>
        <v>3.9837754361297364E-4</v>
      </c>
      <c r="AC34" s="189">
        <f>-k.sd1RA-SUM(AC$9:AC33,AC35:AC$163)</f>
        <v>-2.9410419161676661E-8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5.3261187863990456E-6</v>
      </c>
      <c r="S35" s="190">
        <v>0</v>
      </c>
      <c r="T35" s="190">
        <v>0</v>
      </c>
      <c r="U35" s="190">
        <v>0</v>
      </c>
      <c r="V35" s="190">
        <v>0</v>
      </c>
      <c r="W35" s="190">
        <v>0</v>
      </c>
      <c r="X35" s="190">
        <v>0</v>
      </c>
      <c r="Y35" s="190">
        <v>0</v>
      </c>
      <c r="Z35" s="190">
        <v>0</v>
      </c>
      <c r="AA35" s="366">
        <v>0</v>
      </c>
      <c r="AB35" s="367">
        <f>k.sd1RS.sd1RP</f>
        <v>9.2722385890694223E-4</v>
      </c>
      <c r="AC35" s="367">
        <v>0</v>
      </c>
      <c r="AD35" s="189">
        <f>-k.sd1RP-SUM(AD$9:AD34,AD36:AD$163)</f>
        <v>-2.9410419161676661E-8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-4.5339584845214805E-8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9.9999999999999991E-22</v>
      </c>
      <c r="U37" s="185">
        <v>0</v>
      </c>
      <c r="V37" s="184">
        <v>0</v>
      </c>
      <c r="W37" s="185">
        <v>0</v>
      </c>
      <c r="X37" s="185">
        <v>0</v>
      </c>
      <c r="Y37" s="185">
        <v>0</v>
      </c>
      <c r="Z37" s="185">
        <v>0</v>
      </c>
      <c r="AA37" s="190">
        <v>0</v>
      </c>
      <c r="AB37" s="190">
        <v>0</v>
      </c>
      <c r="AC37" s="190">
        <v>0</v>
      </c>
      <c r="AD37" s="190">
        <v>0</v>
      </c>
      <c r="AE37" s="370">
        <v>0</v>
      </c>
      <c r="AF37" s="189">
        <f>-k.sd2RS-SUM(AF$9:AF36,AF38:AF$163)</f>
        <v>-1.3256023828672213E-2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9.9999999999999991E-22</v>
      </c>
      <c r="V38" s="184">
        <v>0</v>
      </c>
      <c r="W38" s="185">
        <v>0</v>
      </c>
      <c r="X38" s="185">
        <v>0</v>
      </c>
      <c r="Y38" s="185">
        <v>0</v>
      </c>
      <c r="Z38" s="185">
        <v>0</v>
      </c>
      <c r="AA38" s="190">
        <v>0</v>
      </c>
      <c r="AB38" s="190">
        <v>0</v>
      </c>
      <c r="AC38" s="190">
        <v>0</v>
      </c>
      <c r="AD38" s="190">
        <v>0</v>
      </c>
      <c r="AE38" s="370">
        <v>0</v>
      </c>
      <c r="AF38" s="184">
        <f>k.sd2RS.sd2RA</f>
        <v>3.9837754361297367E-3</v>
      </c>
      <c r="AG38" s="189">
        <f>-k.sd2RA-SUM(AG$9:AG37,AG39:AG$163)</f>
        <v>-9.8034730538922202E-9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1.5978356359197138E-6</v>
      </c>
      <c r="W39" s="185">
        <v>0</v>
      </c>
      <c r="X39" s="185">
        <v>0</v>
      </c>
      <c r="Y39" s="185">
        <v>0</v>
      </c>
      <c r="Z39" s="185">
        <v>0</v>
      </c>
      <c r="AA39" s="190">
        <v>0</v>
      </c>
      <c r="AB39" s="190">
        <v>0</v>
      </c>
      <c r="AC39" s="190">
        <v>0</v>
      </c>
      <c r="AD39" s="190">
        <v>0</v>
      </c>
      <c r="AE39" s="366">
        <v>0</v>
      </c>
      <c r="AF39" s="367">
        <f>k.sd2RS.sd2RP</f>
        <v>9.2722385890694221E-3</v>
      </c>
      <c r="AG39" s="367">
        <v>0</v>
      </c>
      <c r="AH39" s="189">
        <f>-k.sd2RP-SUM(AH$9:AH38,AH40:AH$163)</f>
        <v>-9.8034730538922202E-9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1.8456956621010448E-6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-4.7256081973415453E-9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3.0254342524794702E-6</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-2.5510658535755223E-2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2.9436983294536836E-6</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1.9918877180648688E-2</v>
      </c>
      <c r="AK42" s="189">
        <f>-k.s1RA-SUM(AK$9:AK41,AK43:AK$163)</f>
        <v>-1.4200223351680572E-7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5.5916393528730162E-3</v>
      </c>
      <c r="AK43" s="367">
        <v>0</v>
      </c>
      <c r="AL43" s="189">
        <f>-k.s1RP-SUM(AL$9:AL42,AL44:AL$163)</f>
        <v>-2.4177074605563144E-11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4.101545915780099E-6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-2.1504082393802017E-9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6.7231872277321539E-6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-2.5510581148337957E-2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6.5415518432304058E-6</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1.9918877180648688E-2</v>
      </c>
      <c r="AO46" s="189">
        <f>-k.s2RA-SUM(AO$9:AO45,AO47:AO$163)</f>
        <v>-6.4614816252141533E-8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5.5916393528730162E-3</v>
      </c>
      <c r="AO47" s="367">
        <v>0</v>
      </c>
      <c r="AP47" s="189">
        <f>-k.s2RP-SUM(AP$9:AP46,AP48:AP$163)</f>
        <v>-1.1001880163143698E-11</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6.8359098596334986E-7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-4.7256081973415453E-9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1.1205312046220259E-6</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-2.5510658535755223E-2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1.0902586405384011E-6</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1.9918877180648688E-2</v>
      </c>
      <c r="AS50" s="189">
        <f>-k.s3RA-SUM(AS$9:AS49,AS51:AS$163)</f>
        <v>-1.4200223351680572E-7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5.5916393528730162E-3</v>
      </c>
      <c r="AS51" s="367">
        <v>0</v>
      </c>
      <c r="AT51" s="189">
        <f>-k.s3RP-SUM(AT$9:AT50,AT52:AT$163)</f>
        <v>-2.4177074605563144E-11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-9.4796640568494361E-6</v>
      </c>
      <c r="AV52" s="369">
        <v>0</v>
      </c>
      <c r="AW52" s="369">
        <v>0</v>
      </c>
      <c r="AX52" s="365">
        <v>0</v>
      </c>
      <c r="AY52" s="184">
        <v>0</v>
      </c>
      <c r="AZ52" s="184">
        <v>0</v>
      </c>
      <c r="BA52" s="184">
        <v>0</v>
      </c>
      <c r="BB52" s="185">
        <f>k.w0C.aC</f>
        <v>5.7489622373400747E-28</v>
      </c>
      <c r="BC52" s="185">
        <v>0</v>
      </c>
      <c r="BD52" s="185">
        <v>0</v>
      </c>
      <c r="BE52" s="185">
        <v>0</v>
      </c>
      <c r="BF52" s="185">
        <f>k.w1C.aC</f>
        <v>1.9135468517962959E-26</v>
      </c>
      <c r="BG52" s="185">
        <v>0</v>
      </c>
      <c r="BH52" s="185">
        <v>0</v>
      </c>
      <c r="BI52" s="185">
        <v>0</v>
      </c>
      <c r="BJ52" s="185">
        <f>k.w2C.aC</f>
        <v>2.8731885328284418E-28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9.9730720028708376E-27</v>
      </c>
      <c r="CA52" s="185">
        <v>0</v>
      </c>
      <c r="CB52" s="185">
        <v>0</v>
      </c>
      <c r="CC52" s="185">
        <v>0</v>
      </c>
      <c r="CD52" s="185">
        <f>k.s2C.aC</f>
        <v>4.5382886401294102E-27</v>
      </c>
      <c r="CE52" s="185">
        <v>0</v>
      </c>
      <c r="CF52" s="185">
        <v>0</v>
      </c>
      <c r="CG52" s="185">
        <v>0</v>
      </c>
      <c r="CH52" s="185">
        <f>k.s3C.aC</f>
        <v>9.9730720028708376E-27</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-1.6235564721407384E-3</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1.5797647583020533E-3</v>
      </c>
      <c r="AW54" s="189">
        <f>-k.aCA-SUM(AW$9:AW53,AW55:AW$163)</f>
        <v>-4.3792153235949798E-5</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2.5106717516252995E-10</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3.6500500925352365E-5</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3.6501159206108354E-5</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9.4383161237180241E-9</v>
      </c>
      <c r="AV59" s="185">
        <v>0</v>
      </c>
      <c r="AW59" s="185">
        <v>0</v>
      </c>
      <c r="AX59" s="185">
        <v>0</v>
      </c>
      <c r="AY59" s="185">
        <v>0</v>
      </c>
      <c r="AZ59" s="185">
        <v>0</v>
      </c>
      <c r="BA59" s="185">
        <v>0</v>
      </c>
      <c r="BB59" s="378">
        <f>-k.w0C-SUM(BB9:BB55,BB60:BB163)</f>
        <v>-2.4766875729582789E-9</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7.3933844782602281E-10</v>
      </c>
      <c r="AW60" s="185">
        <v>0</v>
      </c>
      <c r="AX60" s="184">
        <v>0</v>
      </c>
      <c r="AY60" s="185">
        <f>k.cwCS.w0CS</f>
        <v>8.9563387522417847E-8</v>
      </c>
      <c r="AZ60" s="185">
        <v>0</v>
      </c>
      <c r="BA60" s="184">
        <v>0</v>
      </c>
      <c r="BB60" s="370">
        <v>0</v>
      </c>
      <c r="BC60" s="419">
        <f>-k.w0CS-SUM(BC$9:BC59,BC61:BC$163)</f>
        <v>-3.2585219510680941E-4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7.3936500135670603E-10</v>
      </c>
      <c r="AX61" s="184">
        <v>0</v>
      </c>
      <c r="AY61" s="185">
        <v>0</v>
      </c>
      <c r="AZ61" s="185">
        <f>k.cwCA.w0CA</f>
        <v>8.9563387522417847E-8</v>
      </c>
      <c r="BA61" s="184">
        <v>0</v>
      </c>
      <c r="BB61" s="370">
        <v>0</v>
      </c>
      <c r="BC61" s="185">
        <f>k.w0CS.w0CA</f>
        <v>3.2524372615138172E-4</v>
      </c>
      <c r="BD61" s="419">
        <f>-k.w0CA-SUM(BD$9:BD60,BD62:BD$163)</f>
        <v>-2.397260273972703E-9</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6.0607169515373884E-7</v>
      </c>
      <c r="BD62" s="362">
        <v>0</v>
      </c>
      <c r="BE62" s="419">
        <f>-k.w0CP-SUM(BE$9:BE61,BE63:BE$163)</f>
        <v>-1.62180823865944E-7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1.0382147736089826E-7</v>
      </c>
      <c r="AV63" s="185">
        <v>0</v>
      </c>
      <c r="AW63" s="185">
        <v>0</v>
      </c>
      <c r="AX63" s="185">
        <v>0</v>
      </c>
      <c r="AY63" s="185">
        <v>0</v>
      </c>
      <c r="AZ63" s="185">
        <v>0</v>
      </c>
      <c r="BA63" s="185">
        <v>0</v>
      </c>
      <c r="BB63" s="185">
        <f>k.w0C.w1C</f>
        <v>2.3972602739726029E-9</v>
      </c>
      <c r="BC63" s="185">
        <v>0</v>
      </c>
      <c r="BD63" s="185">
        <v>0</v>
      </c>
      <c r="BE63" s="185">
        <v>0</v>
      </c>
      <c r="BF63" s="368">
        <f>-k.w1C-SUM(BF9:BF62,BF64:BF163)</f>
        <v>-9.8629886529859886E-8</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8.1327229260862508E-9</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-1.2962418812158856E-2</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8.1330150149237649E-9</v>
      </c>
      <c r="AX65" s="184">
        <v>0</v>
      </c>
      <c r="AY65" s="185">
        <v>0</v>
      </c>
      <c r="AZ65" s="185">
        <f>k.cwCA.w1CA</f>
        <v>9.8519726274659594E-7</v>
      </c>
      <c r="BA65" s="184">
        <v>0</v>
      </c>
      <c r="BB65" s="185">
        <v>0</v>
      </c>
      <c r="BC65" s="185">
        <v>0</v>
      </c>
      <c r="BD65" s="185">
        <f>k.w0C.w1C</f>
        <v>2.3972602739726029E-9</v>
      </c>
      <c r="BE65" s="185">
        <v>0</v>
      </c>
      <c r="BF65" s="370">
        <v>0</v>
      </c>
      <c r="BG65" s="185">
        <f>k.w1CS.w1CA</f>
        <v>1.2804684206295972E-2</v>
      </c>
      <c r="BH65" s="189">
        <f>-k.w1CA-SUM(BH$9:BH64,BH66:BH$163)</f>
        <v>-7.2644250726445848E-8</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1.5766196161215779E-4</v>
      </c>
      <c r="BH66" s="362">
        <v>0</v>
      </c>
      <c r="BI66" s="189">
        <f>-k.w1CP-SUM(BI$9:BI65,BI67:BI$163)</f>
        <v>-5.3987630371254883E-6</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4.0217953178546055E-6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-3.1951215235373845E-8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3.1373455817945066E-7</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-1.4700288639337712E-2</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3.1374569054105505E-7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1.4597383152554355E-2</v>
      </c>
      <c r="BL69" s="189">
        <f>-k.w2CA-SUM(BL$9:BL68,BL70:BL$163)</f>
        <v>-3.1707947514056125E-8</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1.0287377883584224E-4</v>
      </c>
      <c r="BL70" s="362">
        <v>0</v>
      </c>
      <c r="BM70" s="189">
        <f>-k.w2CP-SUM(BM$9:BM69,BM71:BM$163)</f>
        <v>-1.1159972931004176E-7</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-2.874228435766179E-9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9.9999999999999993E-23</v>
      </c>
      <c r="BD72" s="185">
        <v>0</v>
      </c>
      <c r="BE72" s="185">
        <v>0</v>
      </c>
      <c r="BF72" s="185">
        <v>0</v>
      </c>
      <c r="BG72" s="185">
        <v>0</v>
      </c>
      <c r="BH72" s="185">
        <v>0</v>
      </c>
      <c r="BI72" s="185">
        <v>0</v>
      </c>
      <c r="BJ72" s="185">
        <v>0</v>
      </c>
      <c r="BK72" s="185">
        <v>0</v>
      </c>
      <c r="BL72" s="185">
        <v>0</v>
      </c>
      <c r="BM72" s="184">
        <v>0</v>
      </c>
      <c r="BN72" s="370">
        <v>0</v>
      </c>
      <c r="BO72" s="189">
        <f>-k.sd0CS-SUM(BO$9:BO71,BO73:BO$163)</f>
        <v>-1.3256042767483111E-3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9.9999999999999993E-23</v>
      </c>
      <c r="BE73" s="185">
        <v>0</v>
      </c>
      <c r="BF73" s="185">
        <v>0</v>
      </c>
      <c r="BG73" s="185">
        <v>0</v>
      </c>
      <c r="BH73" s="185">
        <v>0</v>
      </c>
      <c r="BI73" s="185">
        <v>0</v>
      </c>
      <c r="BJ73" s="185">
        <v>0</v>
      </c>
      <c r="BK73" s="185">
        <v>0</v>
      </c>
      <c r="BL73" s="185">
        <v>0</v>
      </c>
      <c r="BM73" s="184">
        <v>0</v>
      </c>
      <c r="BN73" s="370">
        <v>0</v>
      </c>
      <c r="BO73" s="185">
        <f>k.sd0CS.sd0CA</f>
        <v>3.9837754361297364E-4</v>
      </c>
      <c r="BP73" s="189">
        <f>-k.sd0CA-SUM(BP$9:BP72,BP74:BP$163)</f>
        <v>-2.8742283951535594E-9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1.5978356359197139E-7</v>
      </c>
      <c r="BF74" s="185">
        <v>0</v>
      </c>
      <c r="BG74" s="185">
        <v>0</v>
      </c>
      <c r="BH74" s="185">
        <v>0</v>
      </c>
      <c r="BI74" s="185">
        <v>0</v>
      </c>
      <c r="BJ74" s="185">
        <v>0</v>
      </c>
      <c r="BK74" s="185">
        <v>0</v>
      </c>
      <c r="BL74" s="185">
        <v>0</v>
      </c>
      <c r="BM74" s="184">
        <v>0</v>
      </c>
      <c r="BN74" s="366">
        <v>0</v>
      </c>
      <c r="BO74" s="362">
        <f>k.sd0CS.sd0CP</f>
        <v>9.2722385890694223E-4</v>
      </c>
      <c r="BP74" s="367">
        <v>0</v>
      </c>
      <c r="BQ74" s="189">
        <f>-k.sd0CP-SUM(BQ$9:BQ73,BQ75:BQ$163)</f>
        <v>-2.8742283951535594E-9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-6.4946530952999239E-8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3.3333333333333329E-21</v>
      </c>
      <c r="BH76" s="185">
        <v>0</v>
      </c>
      <c r="BI76" s="185">
        <v>0</v>
      </c>
      <c r="BJ76" s="190">
        <v>0</v>
      </c>
      <c r="BK76" s="190">
        <v>0</v>
      </c>
      <c r="BL76" s="190">
        <v>0</v>
      </c>
      <c r="BM76" s="185">
        <v>0</v>
      </c>
      <c r="BN76" s="185">
        <v>0</v>
      </c>
      <c r="BO76" s="185">
        <v>0</v>
      </c>
      <c r="BP76" s="185">
        <v>0</v>
      </c>
      <c r="BQ76" s="185">
        <v>0</v>
      </c>
      <c r="BR76" s="381">
        <v>0</v>
      </c>
      <c r="BS76" s="189">
        <f>-k.sd1CS-SUM(BS$9:BS75,BS77:BS$163)</f>
        <v>-1.3256308129390776E-3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3.3333333333333329E-21</v>
      </c>
      <c r="BI77" s="185">
        <v>0</v>
      </c>
      <c r="BJ77" s="190">
        <v>0</v>
      </c>
      <c r="BK77" s="190">
        <v>0</v>
      </c>
      <c r="BL77" s="190">
        <v>0</v>
      </c>
      <c r="BM77" s="190">
        <v>0</v>
      </c>
      <c r="BN77" s="190">
        <v>0</v>
      </c>
      <c r="BO77" s="190">
        <v>0</v>
      </c>
      <c r="BP77" s="190">
        <v>0</v>
      </c>
      <c r="BQ77" s="190">
        <v>0</v>
      </c>
      <c r="BR77" s="381">
        <v>0</v>
      </c>
      <c r="BS77" s="185">
        <f>k.sd1CS.sd1CA</f>
        <v>3.9837754361297364E-4</v>
      </c>
      <c r="BT77" s="189">
        <f>-k.sd1CA-SUM(BT$9:BT76,BT78:BT$163)</f>
        <v>-2.9410419161676657E-8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5.3261187863990456E-6</v>
      </c>
      <c r="BJ78" s="190">
        <v>0</v>
      </c>
      <c r="BK78" s="190">
        <v>0</v>
      </c>
      <c r="BL78" s="190">
        <v>0</v>
      </c>
      <c r="BM78" s="190">
        <v>0</v>
      </c>
      <c r="BN78" s="190">
        <v>0</v>
      </c>
      <c r="BO78" s="190">
        <v>0</v>
      </c>
      <c r="BP78" s="190">
        <v>0</v>
      </c>
      <c r="BQ78" s="190">
        <v>0</v>
      </c>
      <c r="BR78" s="361">
        <v>0</v>
      </c>
      <c r="BS78" s="362">
        <f>k.sd1CS.sd1CP</f>
        <v>9.2722385890694223E-4</v>
      </c>
      <c r="BT78" s="362">
        <v>0</v>
      </c>
      <c r="BU78" s="189">
        <f>-k.sd1CP-SUM(BU$9:BU77,BU79:BU$163)</f>
        <v>-2.9410419161676657E-8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-4.5339584845214805E-8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4.9999999999999997E-23</v>
      </c>
      <c r="BL80" s="185">
        <v>0</v>
      </c>
      <c r="BM80" s="185">
        <v>0</v>
      </c>
      <c r="BN80" s="185">
        <v>0</v>
      </c>
      <c r="BO80" s="185">
        <v>0</v>
      </c>
      <c r="BP80" s="185">
        <v>0</v>
      </c>
      <c r="BQ80" s="185">
        <v>0</v>
      </c>
      <c r="BR80" s="190">
        <v>0</v>
      </c>
      <c r="BS80" s="190">
        <v>0</v>
      </c>
      <c r="BT80" s="190">
        <v>0</v>
      </c>
      <c r="BU80" s="185">
        <v>0</v>
      </c>
      <c r="BV80" s="381">
        <v>0</v>
      </c>
      <c r="BW80" s="189">
        <f>-k.sd2CS-SUM(BW$9:BW79,BW81:BW$163)</f>
        <v>-1.3256023828672213E-2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4.9999999999999997E-23</v>
      </c>
      <c r="BM81" s="185">
        <v>0</v>
      </c>
      <c r="BN81" s="185">
        <v>0</v>
      </c>
      <c r="BO81" s="185">
        <v>0</v>
      </c>
      <c r="BP81" s="185">
        <v>0</v>
      </c>
      <c r="BQ81" s="185">
        <v>0</v>
      </c>
      <c r="BR81" s="190">
        <v>0</v>
      </c>
      <c r="BS81" s="190">
        <v>0</v>
      </c>
      <c r="BT81" s="190">
        <v>0</v>
      </c>
      <c r="BU81" s="190">
        <v>0</v>
      </c>
      <c r="BV81" s="381">
        <v>0</v>
      </c>
      <c r="BW81" s="185">
        <f>k.sd2CS.sd2CA</f>
        <v>3.9837754361297367E-3</v>
      </c>
      <c r="BX81" s="189">
        <f>-k.sd2CA-SUM(BX$9:BX80,BX82:BX$163)</f>
        <v>-9.8034730538922219E-9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7.9891781795985684E-8</v>
      </c>
      <c r="BN82" s="185">
        <v>0</v>
      </c>
      <c r="BO82" s="185">
        <v>0</v>
      </c>
      <c r="BP82" s="185">
        <v>0</v>
      </c>
      <c r="BQ82" s="185">
        <v>0</v>
      </c>
      <c r="BR82" s="190">
        <v>0</v>
      </c>
      <c r="BS82" s="190">
        <v>0</v>
      </c>
      <c r="BT82" s="190">
        <v>0</v>
      </c>
      <c r="BU82" s="190">
        <v>0</v>
      </c>
      <c r="BV82" s="361">
        <v>0</v>
      </c>
      <c r="BW82" s="362">
        <f>k.sd2CS.sd2CP</f>
        <v>9.2722385890694221E-3</v>
      </c>
      <c r="BX82" s="362">
        <v>0</v>
      </c>
      <c r="BY82" s="189">
        <f>-k.sd2CP-SUM(BY$9:BY81,BY83:BY$163)</f>
        <v>-9.8034730538922219E-9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1.0193381413613236E-6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-4.7256081973415453E-9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1.4713087556865078E-6</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-2.5510658535755223E-2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1.4713145266385944E-6</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1.9918877180648688E-2</v>
      </c>
      <c r="CB85" s="189">
        <f>-k.s1CA-SUM(CB$9:CB84,CB86:CB$163)</f>
        <v>-1.4200223351680569E-7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5.5916393528730162E-3</v>
      </c>
      <c r="CB86" s="362">
        <v>0</v>
      </c>
      <c r="CC86" s="189">
        <f>-k.s1CP-SUM(CC$9:CC85,CC87:CC$163)</f>
        <v>-2.4177074605563147E-11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2.2651958696918299E-6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-2.1504082393802017E-9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3.2695750126366837E-6</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-2.5510581148337957E-2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3.2695878369746536E-6</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1.9918877180648688E-2</v>
      </c>
      <c r="CF89" s="189">
        <f>-k.s2CA-SUM(CF$9:CF88,CF90:CF$163)</f>
        <v>-6.4614816252141533E-8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5.5916393528730162E-3</v>
      </c>
      <c r="CF90" s="362">
        <v>0</v>
      </c>
      <c r="CG90" s="189">
        <f>-k.s2CP-SUM(CG$9:CG89,CG91:CG$163)</f>
        <v>-1.1001880163143697E-11</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3.7753264494863823E-7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-4.7256081973415453E-9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5.4492916877278055E-7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-2.5510658535755223E-2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5.449313061624422E-7</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1.9918877180648688E-2</v>
      </c>
      <c r="CJ93" s="189">
        <f>-k.s3CA-SUM(CJ$9:CJ92,CJ94:CJ$163)</f>
        <v>-1.4200223351680569E-7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5.5916393528730162E-3</v>
      </c>
      <c r="CJ94" s="362">
        <v>0</v>
      </c>
      <c r="CK94" s="189">
        <f>-k.s3CP-SUM(CK$9:CK93,CK95:CK$163)</f>
        <v>-2.4177074605563147E-11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-9.0734065584468909E-6</v>
      </c>
      <c r="CM95" s="379">
        <v>0</v>
      </c>
      <c r="CN95" s="379">
        <v>0</v>
      </c>
      <c r="CO95" s="380">
        <v>0</v>
      </c>
      <c r="CP95" s="185">
        <v>0</v>
      </c>
      <c r="CQ95" s="185">
        <v>0</v>
      </c>
      <c r="CR95" s="185">
        <v>0</v>
      </c>
      <c r="CS95" s="185">
        <f>k.w2M.aM</f>
        <v>5.7463770656568837E-28</v>
      </c>
      <c r="CT95" s="185">
        <v>0</v>
      </c>
      <c r="CU95" s="185">
        <v>0</v>
      </c>
      <c r="CV95" s="185">
        <v>0</v>
      </c>
      <c r="CW95" s="190">
        <v>0</v>
      </c>
      <c r="CX95" s="190">
        <v>0</v>
      </c>
      <c r="CY95" s="190">
        <v>0</v>
      </c>
      <c r="CZ95" s="190">
        <v>0</v>
      </c>
      <c r="DA95" s="190">
        <v>0</v>
      </c>
      <c r="DB95" s="190">
        <v>0</v>
      </c>
      <c r="DC95" s="190">
        <v>0</v>
      </c>
      <c r="DD95" s="190">
        <v>0</v>
      </c>
      <c r="DE95" s="185">
        <f>k.sM.aM</f>
        <v>9.9730720028708376E-27</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-1.6233617451063055E-3</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1.5797647583020533E-3</v>
      </c>
      <c r="CN97" s="189">
        <f>-k.aMA-SUM(CN$9:CN96,CN98:CN$163)</f>
        <v>-4.3597418198483949E-5</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2.5974935669723542E-10</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3.6500500925352365E-5</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3.6501159206108354E-5</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3.9542347198869956E-6</v>
      </c>
      <c r="CM102" s="185">
        <v>0</v>
      </c>
      <c r="CN102" s="185">
        <v>0</v>
      </c>
      <c r="CO102" s="185">
        <v>0</v>
      </c>
      <c r="CP102" s="185">
        <v>0</v>
      </c>
      <c r="CQ102" s="185">
        <v>0</v>
      </c>
      <c r="CR102" s="185">
        <v>0</v>
      </c>
      <c r="CS102" s="368">
        <f>-k.w2M-SUM(CS9:CS98,CS103:CS163)</f>
        <v>-2.9385445118876675E-7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3.0412121445967584E-7</v>
      </c>
      <c r="CN103" s="185">
        <v>0</v>
      </c>
      <c r="CO103" s="185">
        <v>0</v>
      </c>
      <c r="CP103" s="185">
        <f>k.cwMS.w2MS</f>
        <v>3.699476841282254E-5</v>
      </c>
      <c r="CQ103" s="185">
        <v>0</v>
      </c>
      <c r="CR103" s="185">
        <v>0</v>
      </c>
      <c r="CS103" s="381">
        <v>0</v>
      </c>
      <c r="CT103" s="189">
        <f>-k.w2MS-SUM(CT$9:CT102,CT104:CT$163)</f>
        <v>-1.4700550785800803E-2</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3.0413200570738091E-7</v>
      </c>
      <c r="CO104" s="185">
        <v>0</v>
      </c>
      <c r="CP104" s="185">
        <v>0</v>
      </c>
      <c r="CQ104" s="185">
        <f>k.cwMA.w2MA</f>
        <v>3.699476841282254E-5</v>
      </c>
      <c r="CR104" s="185">
        <v>0</v>
      </c>
      <c r="CS104" s="381">
        <v>0</v>
      </c>
      <c r="CT104" s="185">
        <f>k.w2MS.w2MA</f>
        <v>1.4597383152554355E-2</v>
      </c>
      <c r="CU104" s="189">
        <f>-k.w2MA-SUM(CU$9:CU103,CU105:CU$163)</f>
        <v>-2.938544106053671E-7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1.0287377883584224E-4</v>
      </c>
      <c r="CU105" s="362">
        <v>0</v>
      </c>
      <c r="CV105" s="189">
        <f>-k.w2MP-SUM(CV$9:CV104,CV106:CV$163)</f>
        <v>-4.5363797419733834E-7</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-9.6091232123452783E-9</v>
      </c>
      <c r="CX106" s="379">
        <f>kdis.w3S.w3D</f>
        <v>0</v>
      </c>
      <c r="CY106" s="379">
        <f>kdis.w3A.w3D</f>
        <v>0</v>
      </c>
      <c r="CZ106" s="379">
        <f>kdis.w3P.w3D</f>
        <v>0</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2.4911186751511995E-7</v>
      </c>
      <c r="CU107" s="184">
        <v>0</v>
      </c>
      <c r="CV107" s="185">
        <v>0</v>
      </c>
      <c r="CW107" s="381">
        <v>0</v>
      </c>
      <c r="CX107" s="189">
        <f>-k.w3MS-SUM(CX$9:CX106,CX108:CX$163)</f>
        <v>-1.4700266524257684E-2</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2.4911186751511995E-7</v>
      </c>
      <c r="CV108" s="184">
        <v>0</v>
      </c>
      <c r="CW108" s="381">
        <v>0</v>
      </c>
      <c r="CX108" s="185">
        <f>k.w3MS.w3MA</f>
        <v>1.4597383152554355E-2</v>
      </c>
      <c r="CY108" s="189">
        <f>-k.w3MA-SUM(CY$9:CY107,CY109:CY$163)</f>
        <v>-9.5928674864176458E-9</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4.0889543110709118E-7</v>
      </c>
      <c r="CW109" s="361">
        <v>0</v>
      </c>
      <c r="CX109" s="362">
        <f>k.w3MS.w3MP</f>
        <v>1.0287377883584224E-4</v>
      </c>
      <c r="CY109" s="362">
        <v>0</v>
      </c>
      <c r="CZ109" s="189">
        <f>-k.w3MP-SUM(CZ$9:CZ108,CZ110:CZ$163)</f>
        <v>-1.4918986272816688E-8</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-4.5339584845214798E-8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3.3333333333333334E-24</v>
      </c>
      <c r="CY111" s="190">
        <v>0</v>
      </c>
      <c r="CZ111" s="185">
        <v>0</v>
      </c>
      <c r="DA111" s="381">
        <v>0</v>
      </c>
      <c r="DB111" s="189">
        <f>-k.sdMS-SUM(DB$9:DB110,DB112:DB$163)</f>
        <v>-1.3256023828672213E-2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3.3333333333333334E-24</v>
      </c>
      <c r="CZ112" s="190">
        <v>0</v>
      </c>
      <c r="DA112" s="381">
        <v>0</v>
      </c>
      <c r="DB112" s="185">
        <f>k.sdMS.sdMA</f>
        <v>3.9837754361297367E-3</v>
      </c>
      <c r="DC112" s="189">
        <f>-k.sdMA-SUM(DC$9:DC111,DC113:DC$163)</f>
        <v>-9.8034730538922185E-9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5.3261187863990462E-9</v>
      </c>
      <c r="DA113" s="361">
        <v>0</v>
      </c>
      <c r="DB113" s="362">
        <f>k.sdMS.sdMP</f>
        <v>9.2722385890694221E-3</v>
      </c>
      <c r="DC113" s="362">
        <v>0</v>
      </c>
      <c r="DD113" s="189">
        <f>-k.sdMP-SUM(DD$9:DD112,DD114:DD$163)</f>
        <v>-9.8034730538922185E-9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3.9542347198861418E-6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-4.7256081973415453E-9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5.6271677964098188E-6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-2.5510658535755223E-2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5.6271898679944606E-6</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1.9918877180648688E-2</v>
      </c>
      <c r="DG116" s="189">
        <f>-k.sMA-SUM(DG$9:DG115,DG117:DG$163)</f>
        <v>-1.4200223351680572E-7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5.5916393528730162E-3</v>
      </c>
      <c r="DG117" s="362">
        <v>0</v>
      </c>
      <c r="DH117" s="189">
        <f>-k.sMP-SUM(DH$9:DH116,DH118:DH$163)</f>
        <v>-2.4177074605563147E-11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1.2797903254869106E-33</v>
      </c>
      <c r="DQ118" s="185">
        <v>0</v>
      </c>
      <c r="DR118" s="185">
        <v>0</v>
      </c>
      <c r="DS118" s="185">
        <v>0</v>
      </c>
      <c r="DT118" s="190">
        <v>0</v>
      </c>
      <c r="DU118" s="190">
        <v>0</v>
      </c>
      <c r="DV118" s="190">
        <v>0</v>
      </c>
      <c r="DW118" s="190">
        <v>0</v>
      </c>
      <c r="DX118" s="190">
        <v>0</v>
      </c>
      <c r="DY118" s="190">
        <v>0</v>
      </c>
      <c r="DZ118" s="190">
        <v>0</v>
      </c>
      <c r="EA118" s="190">
        <v>0</v>
      </c>
      <c r="EB118" s="185">
        <f>k.sA.aA</f>
        <v>2.2211283594775314E-32</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-1.4764825129044493E-3</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1.4585997765266855E-3</v>
      </c>
      <c r="DK120" s="189">
        <f>-k.aAA-SUM(DK$9:DK119,DK121:DK$163)</f>
        <v>-1.7882845659284002E-5</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2.3183001092337172E-10</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1.2613556406943844E-5</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1.2613869589572035E-5</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-2.6926124868195051E-7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3.0777514321334656E-7</v>
      </c>
      <c r="DK126" s="185">
        <v>0</v>
      </c>
      <c r="DL126" s="185">
        <v>0</v>
      </c>
      <c r="DM126" s="185">
        <f>k.cwAS.w2AS</f>
        <v>1.5854900748352518E-5</v>
      </c>
      <c r="DN126" s="185">
        <v>0</v>
      </c>
      <c r="DO126" s="185">
        <v>0</v>
      </c>
      <c r="DP126" s="381">
        <v>0</v>
      </c>
      <c r="DQ126" s="189">
        <f>-k.w2AS-SUM(DQ$9:DQ125,DQ127:DQ$163)</f>
        <v>-1.4550513248958907E-2</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3.077808765283067E-7</v>
      </c>
      <c r="DL127" s="185">
        <v>0</v>
      </c>
      <c r="DM127" s="185">
        <v>0</v>
      </c>
      <c r="DN127" s="185">
        <f>k.cwAA.w2AA</f>
        <v>1.5854900748352518E-5</v>
      </c>
      <c r="DO127" s="185">
        <v>0</v>
      </c>
      <c r="DP127" s="381">
        <v>0</v>
      </c>
      <c r="DQ127" s="185">
        <f>k.w2AS.w2AA</f>
        <v>1.4447384514633557E-2</v>
      </c>
      <c r="DR127" s="189">
        <f>-k.w2AA-SUM(DR$9:DR126,DR128:DR$163)</f>
        <v>-2.6926123984947522E-7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1.0285947308549978E-4</v>
      </c>
      <c r="DR128" s="362">
        <v>0</v>
      </c>
      <c r="DS128" s="189">
        <f>-k.w2AP-SUM(DS$9:DS127,DS129:DS$163)</f>
        <v>-4.2904480344144651E-7</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-1.0952382950377911E-8</v>
      </c>
      <c r="DU129" s="379">
        <f>kdis.w3S.w3D</f>
        <v>0</v>
      </c>
      <c r="DV129" s="379">
        <f>kdis.w3A.w3D</f>
        <v>0</v>
      </c>
      <c r="DW129" s="379">
        <f>kdis.w3P.w3D</f>
        <v>0</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2.6926123984947522E-7</v>
      </c>
      <c r="DR130" s="184">
        <v>0</v>
      </c>
      <c r="DS130" s="185">
        <v>0</v>
      </c>
      <c r="DT130" s="381">
        <v>0</v>
      </c>
      <c r="DU130" s="189">
        <f>-k.w3AS-SUM(DU$9:DU129,DU131:DU$163)</f>
        <v>-1.4550254923878032E-2</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2.6926123984947522E-7</v>
      </c>
      <c r="DS131" s="185">
        <v>0</v>
      </c>
      <c r="DT131" s="381">
        <v>0</v>
      </c>
      <c r="DU131" s="185">
        <f>k.w3AS.w3AA</f>
        <v>1.4447384514633557E-2</v>
      </c>
      <c r="DV131" s="189">
        <f>-k.w3AA-SUM(DV$9:DV130,DV132:DV$163)</f>
        <v>-1.0936158975374665E-8</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4.2904480344144651E-7</v>
      </c>
      <c r="DT132" s="361">
        <v>0</v>
      </c>
      <c r="DU132" s="362">
        <f>k.w3AS.w3AP</f>
        <v>1.0285947308549978E-4</v>
      </c>
      <c r="DV132" s="362">
        <v>0</v>
      </c>
      <c r="DW132" s="189">
        <f>-k.w3AP-SUM(DW$9:DW131,DW133:DW$163)</f>
        <v>-1.6262277761773707E-8</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-4.5339584813441018E-8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3.3333333333333334E-24</v>
      </c>
      <c r="DV134" s="185">
        <v>0</v>
      </c>
      <c r="DW134" s="185">
        <v>0</v>
      </c>
      <c r="DX134" s="381">
        <v>0</v>
      </c>
      <c r="DY134" s="189">
        <f>-k.sdAS-SUM(DY$9:DY133,DY135:DY$163)</f>
        <v>-1.2992814423235086E-2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3.3333333333333334E-24</v>
      </c>
      <c r="DW135" s="185">
        <v>0</v>
      </c>
      <c r="DX135" s="381">
        <v>0</v>
      </c>
      <c r="DY135" s="185">
        <f>k.sdAS.sdAA</f>
        <v>3.6837781602881408E-3</v>
      </c>
      <c r="DZ135" s="189">
        <f>-k.sdAA-SUM(DZ$9:DZ134,DZ136:DZ$163)</f>
        <v>-9.8034730538922202E-9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5.3261187863990454E-9</v>
      </c>
      <c r="DX136" s="361">
        <v>0</v>
      </c>
      <c r="DY136" s="362">
        <f>k.sdAS.sdAP</f>
        <v>9.309026459473891E-3</v>
      </c>
      <c r="DZ136" s="362">
        <v>0</v>
      </c>
      <c r="EA136" s="189">
        <f>-k.sdAP-SUM(EA$9:EA135,EA137:EA$163)</f>
        <v>-9.8034730538922202E-9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-1.7032595617831192E-9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4.2684648194683985E-6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-2.4031188074324285E-2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4.2684870150562183E-6</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1.8418890801440709E-2</v>
      </c>
      <c r="ED139" s="189">
        <f>-k.sAA-SUM(ED$9:ED138,ED140:ED$163)</f>
        <v>-5.0727314318624363E-8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5.6122465455692577E-3</v>
      </c>
      <c r="ED140" s="362">
        <v>0</v>
      </c>
      <c r="EE140" s="189">
        <f>-k.sAP-SUM(EE$9:EE139,EE141:EE$163)</f>
        <v>-2.4177074605563147E-11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-8.4865137830022113E-6</v>
      </c>
      <c r="EG141" s="379">
        <v>0</v>
      </c>
      <c r="EH141" s="379">
        <v>0</v>
      </c>
      <c r="EI141" s="380">
        <v>0</v>
      </c>
      <c r="EJ141" s="185">
        <v>0</v>
      </c>
      <c r="EK141" s="185">
        <v>0</v>
      </c>
      <c r="EL141" s="185">
        <v>0</v>
      </c>
      <c r="EM141" s="185">
        <f>k.w2T.aT</f>
        <v>5.0805230836506763E-25</v>
      </c>
      <c r="EN141" s="185">
        <v>0</v>
      </c>
      <c r="EO141" s="185">
        <v>0</v>
      </c>
      <c r="EP141" s="185">
        <v>0</v>
      </c>
      <c r="EQ141" s="190">
        <v>0</v>
      </c>
      <c r="ER141" s="190">
        <v>0</v>
      </c>
      <c r="ES141" s="190">
        <v>0</v>
      </c>
      <c r="ET141" s="190">
        <v>0</v>
      </c>
      <c r="EU141" s="190">
        <v>0</v>
      </c>
      <c r="EV141" s="190">
        <v>0</v>
      </c>
      <c r="EW141" s="190">
        <v>0</v>
      </c>
      <c r="EX141" s="190">
        <v>0</v>
      </c>
      <c r="EY141" s="185">
        <f>k.sT.aT</f>
        <v>8.8174552019941576E-24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-1.7218839044826307E-3</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1.6513172257673972E-3</v>
      </c>
      <c r="EH143" s="189">
        <f>-k.aTA-SUM(EH$9:EH142,EH144:EH$163)</f>
        <v>-7.0567462260901273E-5</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2.624265454907231E-10</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6.6145620190586439E-5</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6.6146625982055525E-5</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5.6604965916500168E-6</v>
      </c>
      <c r="EG148" s="185">
        <v>0</v>
      </c>
      <c r="EH148" s="185">
        <v>0</v>
      </c>
      <c r="EI148" s="185">
        <v>0</v>
      </c>
      <c r="EJ148" s="185">
        <v>0</v>
      </c>
      <c r="EK148" s="185">
        <v>0</v>
      </c>
      <c r="EL148" s="185">
        <v>0</v>
      </c>
      <c r="EM148" s="368">
        <f>-k.w2T-SUM(EM9:EM144,EM149:EM163)</f>
        <v>-2.4405125574391348E-7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5.6028930032318553E-7</v>
      </c>
      <c r="EH149" s="185">
        <v>0</v>
      </c>
      <c r="EI149" s="185">
        <v>0</v>
      </c>
      <c r="EJ149" s="185">
        <f>k.cwTS.w2TS</f>
        <v>9.6186397873338595E-5</v>
      </c>
      <c r="EK149" s="185">
        <v>0</v>
      </c>
      <c r="EL149" s="185">
        <v>0</v>
      </c>
      <c r="EM149" s="381">
        <v>0</v>
      </c>
      <c r="EN149" s="189">
        <f>-k.w2TS-SUM(EN$9:EN148,EN150:EN$163)</f>
        <v>-1.4789144994715325E-2</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5.6031795980117923E-7</v>
      </c>
      <c r="EI150" s="185">
        <v>0</v>
      </c>
      <c r="EJ150" s="185">
        <v>0</v>
      </c>
      <c r="EK150" s="185">
        <f>k.cwTA.w2TA</f>
        <v>9.6186397873338595E-5</v>
      </c>
      <c r="EL150" s="185">
        <v>0</v>
      </c>
      <c r="EM150" s="381">
        <v>0</v>
      </c>
      <c r="EN150" s="185">
        <f>k.w2TS.w2TA</f>
        <v>1.4686018711325736E-2</v>
      </c>
      <c r="EO150" s="189">
        <f>-k.w2TA-SUM(EO$9:EO149,EO151:EO$163)</f>
        <v>-2.4405115581586179E-7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1.0288223223377189E-4</v>
      </c>
      <c r="EO151" s="362">
        <v>0</v>
      </c>
      <c r="EP151" s="189">
        <f>-k.w2TP-SUM(EP$9:EP150,EP152:EP$163)</f>
        <v>-4.0383471940783303E-7</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-7.591129508139204E-9</v>
      </c>
      <c r="ER152" s="379">
        <f>kdis.w3S.w3D</f>
        <v>0</v>
      </c>
      <c r="ES152" s="379">
        <f>kdis.w3A.w3D</f>
        <v>0</v>
      </c>
      <c r="ET152" s="379">
        <f>kdis.w3P.w3D</f>
        <v>0</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2.2724443312678617E-7</v>
      </c>
      <c r="EO153" s="185">
        <v>0</v>
      </c>
      <c r="EP153" s="185">
        <v>0</v>
      </c>
      <c r="EQ153" s="381">
        <v>0</v>
      </c>
      <c r="ER153" s="189">
        <f>-k.w3TS-SUM(ER$9:ER152,ER154:ER$163)</f>
        <v>-1.4788908518373946E-2</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2.2724443312678617E-7</v>
      </c>
      <c r="EP154" s="185">
        <v>0</v>
      </c>
      <c r="EQ154" s="381">
        <v>0</v>
      </c>
      <c r="ER154" s="185">
        <f>k.w3TS.w3TA</f>
        <v>1.4686018711325736E-2</v>
      </c>
      <c r="ES154" s="189">
        <f>-k.w3TA-SUM(ES$9:ES153,ES155:ES$163)</f>
        <v>-7.574814437559539E-9</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3.8702799671875741E-7</v>
      </c>
      <c r="EQ155" s="361">
        <v>0</v>
      </c>
      <c r="ER155" s="362">
        <f>k.w3TS.w3TP</f>
        <v>1.0288223223377189E-4</v>
      </c>
      <c r="ES155" s="362">
        <v>0</v>
      </c>
      <c r="ET155" s="189">
        <f>-k.w3TP-SUM(ET$9:ET154,ET156:ET$163)</f>
        <v>-1.2900933223958581E-8</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-4.5339584904602184E-8</v>
      </c>
      <c r="EV156" s="379">
        <f>kdis.sd2S.sd2D</f>
        <v>0</v>
      </c>
      <c r="EW156" s="379">
        <f>kdis.sd2A.sd2D</f>
        <v>0</v>
      </c>
      <c r="EX156" s="379">
        <f>kdis.sd2P.sd2D</f>
        <v>0</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3.3333333333333334E-24</v>
      </c>
      <c r="ES157" s="185">
        <v>0</v>
      </c>
      <c r="ET157" s="185">
        <v>0</v>
      </c>
      <c r="EU157" s="381">
        <v>0</v>
      </c>
      <c r="EV157" s="189">
        <f>-k.sdTS-SUM(EV$9:EV156,EV158:EV$163)</f>
        <v>-1.3413000855215506E-2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3.3333333333333334E-24</v>
      </c>
      <c r="ET158" s="185">
        <v>0</v>
      </c>
      <c r="EU158" s="381">
        <v>0</v>
      </c>
      <c r="EV158" s="185">
        <f>k.sdTS.sdTA</f>
        <v>4.1610465536724983E-3</v>
      </c>
      <c r="EW158" s="189">
        <f>-k.sdTA-SUM(EW$9:EW157,EW159:EW$163)</f>
        <v>-9.80262745943932E-9</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5.3261187863990462E-9</v>
      </c>
      <c r="EU159" s="361">
        <v>0</v>
      </c>
      <c r="EV159" s="362">
        <f>k.sdTS.sdTP</f>
        <v>9.2519444989155476E-3</v>
      </c>
      <c r="EW159" s="362">
        <v>0</v>
      </c>
      <c r="EX159" s="189">
        <f>-k.sdTP-SUM(EX$9:EX158,EX160:EX$163)</f>
        <v>-9.80262745943932E-9</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2.4259271107051187E-6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-8.755406548309454E-9</v>
      </c>
      <c r="EZ160" s="379">
        <f>kdis.s1S.s1D</f>
        <v>0</v>
      </c>
      <c r="FA160" s="379">
        <f>kdis.s1A.s1D</f>
        <v>0</v>
      </c>
      <c r="FB160" s="382">
        <f>kdis.s1P.s1D</f>
        <v>0</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3.460416717131279E-6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-2.6385807359010222E-2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3.4604282383974813E-6</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2.0805232768362499E-2</v>
      </c>
      <c r="FA162" s="189">
        <f>-k.sTA-SUM(FA$9:FA161,FA163)</f>
        <v>-2.6370212578104759E-7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5.580310888521945E-3</v>
      </c>
      <c r="FA163" s="182">
        <v>0</v>
      </c>
      <c r="FB163" s="400">
        <f>-k.sTP-SUM(FB$9:FB162)</f>
        <v>-2.4177074605563147E-11</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-6.2998332248668701E+26</v>
      </c>
      <c r="D168" s="185">
        <f t="array" ref="D168:FB168">TRANSPOSE(MMULT(MINVERSE(D9:FB163),-TRANSPOSE(D5:FB5)))</f>
        <v>0</v>
      </c>
      <c r="E168" s="185">
        <v>1957.0896351344352</v>
      </c>
      <c r="F168" s="185">
        <v>54733.086900966002</v>
      </c>
      <c r="G168" s="185">
        <v>5.8237997926487645E-3</v>
      </c>
      <c r="H168" s="185">
        <v>966.64208789377415</v>
      </c>
      <c r="I168" s="185">
        <v>27036.035671887552</v>
      </c>
      <c r="J168" s="185">
        <v>5.823798045508824E-3</v>
      </c>
      <c r="K168" s="185">
        <v>0</v>
      </c>
      <c r="L168" s="185">
        <v>0.55761208926152894</v>
      </c>
      <c r="M168" s="185">
        <v>177655768.63305253</v>
      </c>
      <c r="N168" s="185">
        <v>370919.14909183024</v>
      </c>
      <c r="O168" s="185">
        <v>0</v>
      </c>
      <c r="P168" s="185">
        <v>247.25385203385903</v>
      </c>
      <c r="Q168" s="185">
        <v>113906576.94449526</v>
      </c>
      <c r="R168" s="185">
        <v>1175212.0114180078</v>
      </c>
      <c r="S168" s="185">
        <v>0</v>
      </c>
      <c r="T168" s="185">
        <v>2.2765638183404584E-2</v>
      </c>
      <c r="U168" s="185">
        <v>-1.1406712757009852E+19</v>
      </c>
      <c r="V168" s="185">
        <v>56307.174872559044</v>
      </c>
      <c r="W168" s="185">
        <v>0</v>
      </c>
      <c r="X168" s="185">
        <v>4.2064746632902748E-20</v>
      </c>
      <c r="Y168" s="185">
        <v>6.1358609015934655E-6</v>
      </c>
      <c r="Z168" s="185">
        <v>20469514.824482892</v>
      </c>
      <c r="AA168" s="185">
        <v>0</v>
      </c>
      <c r="AB168" s="185">
        <v>6.2172627456676916E-16</v>
      </c>
      <c r="AC168" s="185">
        <v>1.2910011088571122E-5</v>
      </c>
      <c r="AD168" s="185">
        <v>212826574.74571067</v>
      </c>
      <c r="AE168" s="185">
        <v>0</v>
      </c>
      <c r="AF168" s="185">
        <v>1.7173806020296587E-21</v>
      </c>
      <c r="AG168" s="185">
        <v>-1163537.9313335393</v>
      </c>
      <c r="AH168" s="185">
        <v>9177320.1267297566</v>
      </c>
      <c r="AI168" s="185">
        <v>0</v>
      </c>
      <c r="AJ168" s="185">
        <v>0.98577255117931284</v>
      </c>
      <c r="AK168" s="185">
        <v>5059808.5704256557</v>
      </c>
      <c r="AL168" s="185">
        <v>227992926.43579537</v>
      </c>
      <c r="AM168" s="185">
        <v>0</v>
      </c>
      <c r="AN168" s="185">
        <v>127.74672068642199</v>
      </c>
      <c r="AO168" s="185">
        <v>63415991.720332846</v>
      </c>
      <c r="AP168" s="185">
        <v>64926525365.779327</v>
      </c>
      <c r="AQ168" s="185">
        <v>0</v>
      </c>
      <c r="AR168" s="185">
        <v>0.36510094488122696</v>
      </c>
      <c r="AS168" s="185">
        <v>1874003.1742317236</v>
      </c>
      <c r="AT168" s="185">
        <v>84441824.60585013</v>
      </c>
      <c r="AU168" s="185">
        <v>0</v>
      </c>
      <c r="AV168" s="185">
        <v>11.355357989159989</v>
      </c>
      <c r="AW168" s="185">
        <v>12184.417426640783</v>
      </c>
      <c r="AX168" s="185">
        <v>7.5273497397240492E-4</v>
      </c>
      <c r="AY168" s="185">
        <v>5.6018225356342866</v>
      </c>
      <c r="AZ168" s="185">
        <v>6010.9223466492313</v>
      </c>
      <c r="BA168" s="185">
        <v>7.5273474815191284E-4</v>
      </c>
      <c r="BB168" s="185">
        <v>0</v>
      </c>
      <c r="BC168" s="185">
        <v>1.5657143188054911E-3</v>
      </c>
      <c r="BD168" s="185">
        <v>9671842.3102153484</v>
      </c>
      <c r="BE168" s="185">
        <v>28.704420361331014</v>
      </c>
      <c r="BF168" s="185">
        <v>0</v>
      </c>
      <c r="BG168" s="185">
        <v>4.329523493549508E-4</v>
      </c>
      <c r="BH168" s="185">
        <v>3830048.7590736821</v>
      </c>
      <c r="BI168" s="185">
        <v>86.545473937198253</v>
      </c>
      <c r="BJ168" s="185">
        <v>0</v>
      </c>
      <c r="BK168" s="185">
        <v>1.4787652436377351E-2</v>
      </c>
      <c r="BL168" s="185">
        <v>-9.4128447153400808E+23</v>
      </c>
      <c r="BM168" s="185">
        <v>8955060.8202509396</v>
      </c>
      <c r="BN168" s="185">
        <v>0</v>
      </c>
      <c r="BO168" s="185">
        <v>1.1811325191603685E-22</v>
      </c>
      <c r="BP168" s="185">
        <v>3.3650221836908521E-7</v>
      </c>
      <c r="BQ168" s="185">
        <v>1595.7307303445425</v>
      </c>
      <c r="BR168" s="185">
        <v>0</v>
      </c>
      <c r="BS168" s="185">
        <v>1.0886700005487581E-21</v>
      </c>
      <c r="BT168" s="185">
        <v>4.3409205177129308E-7</v>
      </c>
      <c r="BU168" s="185">
        <v>15673.067156260211</v>
      </c>
      <c r="BV168" s="185">
        <v>0</v>
      </c>
      <c r="BW168" s="185">
        <v>5.5777104158459223E-23</v>
      </c>
      <c r="BX168" s="185">
        <v>-4800770432.8839607</v>
      </c>
      <c r="BY168" s="185">
        <v>72977786.656660721</v>
      </c>
      <c r="BZ168" s="185">
        <v>0</v>
      </c>
      <c r="CA168" s="185">
        <v>2.778948391859552E-3</v>
      </c>
      <c r="CB168" s="185">
        <v>536084.44948266284</v>
      </c>
      <c r="CC168" s="185">
        <v>643016.4498966228</v>
      </c>
      <c r="CD168" s="185">
        <v>0</v>
      </c>
      <c r="CE168" s="185">
        <v>6.1754596042577483E-3</v>
      </c>
      <c r="CF168" s="185">
        <v>2618085.0964592318</v>
      </c>
      <c r="CG168" s="185">
        <v>3140130.714843215</v>
      </c>
      <c r="CH168" s="185">
        <v>0</v>
      </c>
      <c r="CI168" s="185">
        <v>1.0292401451331673E-3</v>
      </c>
      <c r="CJ168" s="185">
        <v>198549.79610468989</v>
      </c>
      <c r="CK168" s="185">
        <v>238154.24070245281</v>
      </c>
      <c r="CL168" s="185">
        <v>0</v>
      </c>
      <c r="CM168" s="185">
        <v>9.6655464327965214E-3</v>
      </c>
      <c r="CN168" s="185">
        <v>386.68907275176014</v>
      </c>
      <c r="CO168" s="185">
        <v>1.369300266714916E-5</v>
      </c>
      <c r="CP168" s="185">
        <v>4.7682050956162304E-3</v>
      </c>
      <c r="CQ168" s="185">
        <v>190.76480288064505</v>
      </c>
      <c r="CR168" s="185">
        <v>1.3692998559248359E-5</v>
      </c>
      <c r="CS168" s="185">
        <v>0</v>
      </c>
      <c r="CT168" s="185">
        <v>1.2231382380438355E-5</v>
      </c>
      <c r="CU168" s="185">
        <v>-4.9157342693487554E+24</v>
      </c>
      <c r="CV168" s="185">
        <v>45062916.474206299</v>
      </c>
      <c r="CW168" s="185">
        <v>0</v>
      </c>
      <c r="CX168" s="185">
        <v>2.0727396350974288E-10</v>
      </c>
      <c r="CY168" s="185">
        <v>-1.4747202808046271E+26</v>
      </c>
      <c r="CZ168" s="185">
        <v>2102016224.9629247</v>
      </c>
      <c r="DA168" s="185">
        <v>0</v>
      </c>
      <c r="DB168" s="185">
        <v>5.2120697777015713E-32</v>
      </c>
      <c r="DC168" s="185">
        <v>-50142783504.638603</v>
      </c>
      <c r="DD168" s="185">
        <v>1142002231.6117568</v>
      </c>
      <c r="DE168" s="185">
        <v>0</v>
      </c>
      <c r="DF168" s="185">
        <v>9.046739995168333E-6</v>
      </c>
      <c r="DG168" s="185">
        <v>65023.292298780434</v>
      </c>
      <c r="DH168" s="185">
        <v>2113.5527775721685</v>
      </c>
      <c r="DI168" s="185">
        <v>0</v>
      </c>
      <c r="DJ168" s="185">
        <v>2.4831743960616831E-6</v>
      </c>
      <c r="DK168" s="185">
        <v>8.2024787330982765</v>
      </c>
      <c r="DL168" s="185">
        <v>1.8474755331012584E-7</v>
      </c>
      <c r="DM168" s="185">
        <v>1.1853114999634691E-6</v>
      </c>
      <c r="DN168" s="185">
        <v>3.915445401749011</v>
      </c>
      <c r="DO168" s="185">
        <v>1.8474749788585984E-7</v>
      </c>
      <c r="DP168" s="185">
        <v>0</v>
      </c>
      <c r="DQ168" s="185">
        <v>1.3766072782659744E-9</v>
      </c>
      <c r="DR168" s="185">
        <v>-3.9379518768413137E+24</v>
      </c>
      <c r="DS168" s="185">
        <v>22644555.283588853</v>
      </c>
      <c r="DT168" s="185">
        <v>0</v>
      </c>
      <c r="DU168" s="185">
        <v>2.5474947653557335E-14</v>
      </c>
      <c r="DV168" s="185">
        <v>-9.6957058434635102E+25</v>
      </c>
      <c r="DW168" s="185">
        <v>888292551.68955338</v>
      </c>
      <c r="DX168" s="185">
        <v>0</v>
      </c>
      <c r="DY168" s="185">
        <v>6.5356503535267961E-36</v>
      </c>
      <c r="DZ168" s="185">
        <v>-32966908054.467751</v>
      </c>
      <c r="EA168" s="185">
        <v>482599546.2387374</v>
      </c>
      <c r="EB168" s="185">
        <v>0</v>
      </c>
      <c r="EC168" s="185">
        <v>9.6241628186938501E-10</v>
      </c>
      <c r="ED168" s="185">
        <v>1506.056284204104</v>
      </c>
      <c r="EE168" s="185">
        <v>0.30723259312068152</v>
      </c>
      <c r="EF168" s="185">
        <v>0</v>
      </c>
      <c r="EG168" s="185">
        <v>3.6880117002497927E-6</v>
      </c>
      <c r="EH168" s="185">
        <v>3.600290592497382</v>
      </c>
      <c r="EI168" s="185">
        <v>6.4818196042279399E-8</v>
      </c>
      <c r="EJ168" s="185">
        <v>1.7753245635945145E-6</v>
      </c>
      <c r="EK168" s="185">
        <v>1.7331239796875033</v>
      </c>
      <c r="EL168" s="185">
        <v>6.4818176596820601E-8</v>
      </c>
      <c r="EM168" s="185">
        <v>0</v>
      </c>
      <c r="EN168" s="185">
        <v>1.1686225375984231E-8</v>
      </c>
      <c r="EO168" s="185">
        <v>-1.1311656817374112E+25</v>
      </c>
      <c r="EP168" s="185">
        <v>160880814.41687867</v>
      </c>
      <c r="EQ168" s="185">
        <v>0</v>
      </c>
      <c r="ER168" s="185">
        <v>1.7958707787788651E-13</v>
      </c>
      <c r="ES168" s="185">
        <v>-3.6444759712977815E+26</v>
      </c>
      <c r="ET168" s="185">
        <v>8577009916.7006655</v>
      </c>
      <c r="EU168" s="185">
        <v>0</v>
      </c>
      <c r="EV168" s="185">
        <v>4.4630101748895358E-35</v>
      </c>
      <c r="EW168" s="185">
        <v>-123928541484.67368</v>
      </c>
      <c r="EX168" s="185">
        <v>4660196854.1078482</v>
      </c>
      <c r="EY168" s="185">
        <v>0</v>
      </c>
      <c r="EZ168" s="185">
        <v>3.2572739778652212E-9</v>
      </c>
      <c r="FA168" s="185">
        <v>318.17239746225596</v>
      </c>
      <c r="FB168" s="192">
        <v>0.86313295623729813</v>
      </c>
    </row>
    <row r="169" spans="2:160" ht="12.75" customHeight="1" x14ac:dyDescent="0.3">
      <c r="B169" s="188" t="s">
        <v>4111</v>
      </c>
      <c r="C169" s="336"/>
      <c r="D169" s="185">
        <f t="shared" ref="D169:AI169" si="0">D168*Molweight</f>
        <v>0</v>
      </c>
      <c r="E169" s="185">
        <f t="shared" si="0"/>
        <v>193.75187387830908</v>
      </c>
      <c r="F169" s="185">
        <f t="shared" si="0"/>
        <v>5418.5756031956344</v>
      </c>
      <c r="G169" s="185">
        <f t="shared" si="0"/>
        <v>5.7655617947222776E-4</v>
      </c>
      <c r="H169" s="185">
        <f t="shared" si="0"/>
        <v>95.697566701483652</v>
      </c>
      <c r="I169" s="185">
        <f t="shared" si="0"/>
        <v>2676.5675315168678</v>
      </c>
      <c r="J169" s="185">
        <f t="shared" si="0"/>
        <v>5.7655600650537359E-4</v>
      </c>
      <c r="K169" s="185">
        <f t="shared" si="0"/>
        <v>0</v>
      </c>
      <c r="L169" s="185">
        <f t="shared" si="0"/>
        <v>5.5203596836891369E-2</v>
      </c>
      <c r="M169" s="185">
        <f t="shared" si="0"/>
        <v>17587921.094672199</v>
      </c>
      <c r="N169" s="185">
        <f t="shared" si="0"/>
        <v>36720.995760091195</v>
      </c>
      <c r="O169" s="185">
        <f t="shared" si="0"/>
        <v>0</v>
      </c>
      <c r="P169" s="185">
        <f t="shared" si="0"/>
        <v>24.478131351352044</v>
      </c>
      <c r="Q169" s="185">
        <f t="shared" si="0"/>
        <v>11276751.117505031</v>
      </c>
      <c r="R169" s="185">
        <f t="shared" si="0"/>
        <v>116345.98913038278</v>
      </c>
      <c r="S169" s="185">
        <f t="shared" si="0"/>
        <v>0</v>
      </c>
      <c r="T169" s="185">
        <f t="shared" si="0"/>
        <v>2.2537981801570538E-3</v>
      </c>
      <c r="U169" s="185">
        <f t="shared" si="0"/>
        <v>-1.1292645629439754E+18</v>
      </c>
      <c r="V169" s="185">
        <f t="shared" si="0"/>
        <v>5574.4103123833456</v>
      </c>
      <c r="W169" s="185">
        <f t="shared" si="0"/>
        <v>0</v>
      </c>
      <c r="X169" s="185">
        <f t="shared" si="0"/>
        <v>4.1644099166573719E-21</v>
      </c>
      <c r="Y169" s="185">
        <f t="shared" si="0"/>
        <v>6.0745022925775307E-7</v>
      </c>
      <c r="Z169" s="185">
        <f t="shared" si="0"/>
        <v>2026481.9676238063</v>
      </c>
      <c r="AA169" s="185">
        <f t="shared" si="0"/>
        <v>0</v>
      </c>
      <c r="AB169" s="185">
        <f t="shared" si="0"/>
        <v>6.1550901182110145E-17</v>
      </c>
      <c r="AC169" s="185">
        <f t="shared" si="0"/>
        <v>1.278091097768541E-6</v>
      </c>
      <c r="AD169" s="185">
        <f t="shared" si="0"/>
        <v>21069830.899825357</v>
      </c>
      <c r="AE169" s="185">
        <f t="shared" si="0"/>
        <v>0</v>
      </c>
      <c r="AF169" s="185">
        <f t="shared" si="0"/>
        <v>1.7002067960093622E-22</v>
      </c>
      <c r="AG169" s="185">
        <f t="shared" si="0"/>
        <v>-115190.2552020204</v>
      </c>
      <c r="AH169" s="185">
        <f t="shared" si="0"/>
        <v>908554.69254624599</v>
      </c>
      <c r="AI169" s="185">
        <f t="shared" si="0"/>
        <v>0</v>
      </c>
      <c r="AJ169" s="185">
        <f t="shared" ref="AJ169:BO169" si="1">AJ168*Molweight</f>
        <v>9.7591482566751972E-2</v>
      </c>
      <c r="AK169" s="185">
        <f t="shared" si="1"/>
        <v>500921.04847213993</v>
      </c>
      <c r="AL169" s="185">
        <f t="shared" si="1"/>
        <v>22571299.717143744</v>
      </c>
      <c r="AM169" s="185">
        <f t="shared" si="1"/>
        <v>0</v>
      </c>
      <c r="AN169" s="185">
        <f t="shared" si="1"/>
        <v>12.646925347955777</v>
      </c>
      <c r="AO169" s="185">
        <f t="shared" si="1"/>
        <v>6278183.180312952</v>
      </c>
      <c r="AP169" s="185">
        <f t="shared" si="1"/>
        <v>6427726011.2121534</v>
      </c>
      <c r="AQ169" s="185">
        <f t="shared" si="1"/>
        <v>0</v>
      </c>
      <c r="AR169" s="185">
        <f t="shared" si="1"/>
        <v>3.6144993543241473E-2</v>
      </c>
      <c r="AS169" s="185">
        <f t="shared" si="1"/>
        <v>185526.31424894065</v>
      </c>
      <c r="AT169" s="185">
        <f t="shared" si="1"/>
        <v>8359740.6359791635</v>
      </c>
      <c r="AU169" s="185">
        <f t="shared" si="1"/>
        <v>0</v>
      </c>
      <c r="AV169" s="185">
        <f t="shared" si="1"/>
        <v>1.124180440926839</v>
      </c>
      <c r="AW169" s="185">
        <f t="shared" si="1"/>
        <v>1206.2573252374375</v>
      </c>
      <c r="AX169" s="185">
        <f t="shared" si="1"/>
        <v>7.4520762423268085E-5</v>
      </c>
      <c r="AY169" s="185">
        <f t="shared" si="1"/>
        <v>0.55458043102779442</v>
      </c>
      <c r="AZ169" s="185">
        <f t="shared" si="1"/>
        <v>595.08131231827394</v>
      </c>
      <c r="BA169" s="185">
        <f t="shared" si="1"/>
        <v>7.4520740067039374E-5</v>
      </c>
      <c r="BB169" s="185">
        <f t="shared" si="1"/>
        <v>0</v>
      </c>
      <c r="BC169" s="185">
        <f t="shared" si="1"/>
        <v>1.5500571756174364E-4</v>
      </c>
      <c r="BD169" s="185">
        <f t="shared" si="1"/>
        <v>957512.38871131954</v>
      </c>
      <c r="BE169" s="185">
        <f t="shared" si="1"/>
        <v>2.8417376157717706</v>
      </c>
      <c r="BF169" s="185">
        <f t="shared" si="1"/>
        <v>0</v>
      </c>
      <c r="BG169" s="185">
        <f t="shared" si="1"/>
        <v>4.2862282586140134E-5</v>
      </c>
      <c r="BH169" s="185">
        <f t="shared" si="1"/>
        <v>379174.82714829454</v>
      </c>
      <c r="BI169" s="185">
        <f t="shared" si="1"/>
        <v>8.5680019197826276</v>
      </c>
      <c r="BJ169" s="185">
        <f t="shared" si="1"/>
        <v>0</v>
      </c>
      <c r="BK169" s="185">
        <f t="shared" si="1"/>
        <v>1.4639775912013578E-3</v>
      </c>
      <c r="BL169" s="185">
        <f t="shared" si="1"/>
        <v>-9.3187162681866797E+22</v>
      </c>
      <c r="BM169" s="185">
        <f t="shared" si="1"/>
        <v>886551.02120484307</v>
      </c>
      <c r="BN169" s="185">
        <f t="shared" si="1"/>
        <v>0</v>
      </c>
      <c r="BO169" s="185">
        <f t="shared" si="1"/>
        <v>1.1693211939687649E-23</v>
      </c>
      <c r="BP169" s="185">
        <f t="shared" ref="BP169:CU169" si="2">BP168*Molweight</f>
        <v>3.331371961853944E-8</v>
      </c>
      <c r="BQ169" s="185">
        <f t="shared" si="2"/>
        <v>157.97734230410973</v>
      </c>
      <c r="BR169" s="185">
        <f t="shared" si="2"/>
        <v>0</v>
      </c>
      <c r="BS169" s="185">
        <f t="shared" si="2"/>
        <v>1.0777833005432705E-22</v>
      </c>
      <c r="BT169" s="185">
        <f t="shared" si="2"/>
        <v>4.2975113125358016E-8</v>
      </c>
      <c r="BU169" s="185">
        <f t="shared" si="2"/>
        <v>1551.6336484697611</v>
      </c>
      <c r="BV169" s="185">
        <f t="shared" si="2"/>
        <v>0</v>
      </c>
      <c r="BW169" s="185">
        <f t="shared" si="2"/>
        <v>5.5219333116874633E-24</v>
      </c>
      <c r="BX169" s="185">
        <f t="shared" si="2"/>
        <v>-475276272.85551214</v>
      </c>
      <c r="BY169" s="185">
        <f t="shared" si="2"/>
        <v>7224800.8790094117</v>
      </c>
      <c r="BZ169" s="185">
        <f t="shared" si="2"/>
        <v>0</v>
      </c>
      <c r="CA169" s="185">
        <f t="shared" si="2"/>
        <v>2.7511589079409564E-4</v>
      </c>
      <c r="CB169" s="185">
        <f t="shared" si="2"/>
        <v>53072.360498783622</v>
      </c>
      <c r="CC169" s="185">
        <f t="shared" si="2"/>
        <v>63658.628539765661</v>
      </c>
      <c r="CD169" s="185">
        <f t="shared" si="2"/>
        <v>0</v>
      </c>
      <c r="CE169" s="185">
        <f t="shared" si="2"/>
        <v>6.1137050082151715E-4</v>
      </c>
      <c r="CF169" s="185">
        <f t="shared" si="2"/>
        <v>259190.42454946396</v>
      </c>
      <c r="CG169" s="185">
        <f t="shared" si="2"/>
        <v>310872.94076947827</v>
      </c>
      <c r="CH169" s="185">
        <f t="shared" si="2"/>
        <v>0</v>
      </c>
      <c r="CI169" s="185">
        <f t="shared" si="2"/>
        <v>1.0189477436818356E-4</v>
      </c>
      <c r="CJ169" s="185">
        <f t="shared" si="2"/>
        <v>19656.429814364299</v>
      </c>
      <c r="CK169" s="185">
        <f t="shared" si="2"/>
        <v>23577.269829542831</v>
      </c>
      <c r="CL169" s="185">
        <f t="shared" si="2"/>
        <v>0</v>
      </c>
      <c r="CM169" s="185">
        <f t="shared" si="2"/>
        <v>9.5688909684685567E-4</v>
      </c>
      <c r="CN169" s="185">
        <f t="shared" si="2"/>
        <v>38.282218202424254</v>
      </c>
      <c r="CO169" s="185">
        <f t="shared" si="2"/>
        <v>1.3556072640477668E-6</v>
      </c>
      <c r="CP169" s="185">
        <f t="shared" si="2"/>
        <v>4.7205230446600681E-4</v>
      </c>
      <c r="CQ169" s="185">
        <f t="shared" si="2"/>
        <v>18.885715485183862</v>
      </c>
      <c r="CR169" s="185">
        <f t="shared" si="2"/>
        <v>1.3556068573655877E-6</v>
      </c>
      <c r="CS169" s="185">
        <f t="shared" si="2"/>
        <v>0</v>
      </c>
      <c r="CT169" s="185">
        <f t="shared" si="2"/>
        <v>1.2109068556633972E-6</v>
      </c>
      <c r="CU169" s="185">
        <f t="shared" si="2"/>
        <v>-4.8665769266552679E+23</v>
      </c>
      <c r="CV169" s="185">
        <f t="shared" ref="CV169:EA169" si="3">CV168*Molweight</f>
        <v>4461228.7309464235</v>
      </c>
      <c r="CW169" s="185">
        <f t="shared" si="3"/>
        <v>0</v>
      </c>
      <c r="CX169" s="185">
        <f t="shared" si="3"/>
        <v>2.0520122387464547E-11</v>
      </c>
      <c r="CY169" s="185">
        <f t="shared" si="3"/>
        <v>-1.459973077996581E+25</v>
      </c>
      <c r="CZ169" s="185">
        <f t="shared" si="3"/>
        <v>208099606.27132955</v>
      </c>
      <c r="DA169" s="185">
        <f t="shared" si="3"/>
        <v>0</v>
      </c>
      <c r="DB169" s="185">
        <f t="shared" si="3"/>
        <v>5.1599490799245556E-33</v>
      </c>
      <c r="DC169" s="185">
        <f t="shared" si="3"/>
        <v>-4964135566.9592218</v>
      </c>
      <c r="DD169" s="185">
        <f t="shared" si="3"/>
        <v>113058220.92956392</v>
      </c>
      <c r="DE169" s="185">
        <f t="shared" si="3"/>
        <v>0</v>
      </c>
      <c r="DF169" s="185">
        <f t="shared" si="3"/>
        <v>8.9562725952166498E-7</v>
      </c>
      <c r="DG169" s="185">
        <f t="shared" si="3"/>
        <v>6437.3059375792636</v>
      </c>
      <c r="DH169" s="185">
        <f t="shared" si="3"/>
        <v>209.24172497964469</v>
      </c>
      <c r="DI169" s="185">
        <f t="shared" si="3"/>
        <v>0</v>
      </c>
      <c r="DJ169" s="185">
        <f t="shared" si="3"/>
        <v>2.4583426521010667E-7</v>
      </c>
      <c r="DK169" s="185">
        <f t="shared" si="3"/>
        <v>0.81204539457672942</v>
      </c>
      <c r="DL169" s="185">
        <f t="shared" si="3"/>
        <v>1.8290007777702459E-8</v>
      </c>
      <c r="DM169" s="185">
        <f t="shared" si="3"/>
        <v>1.1734583849638344E-7</v>
      </c>
      <c r="DN169" s="185">
        <f t="shared" si="3"/>
        <v>0.38762909477315211</v>
      </c>
      <c r="DO169" s="185">
        <f t="shared" si="3"/>
        <v>1.8290002290700124E-8</v>
      </c>
      <c r="DP169" s="185">
        <f t="shared" si="3"/>
        <v>0</v>
      </c>
      <c r="DQ169" s="185">
        <f t="shared" si="3"/>
        <v>1.3628412054833148E-10</v>
      </c>
      <c r="DR169" s="185">
        <f t="shared" si="3"/>
        <v>-3.8985723580729009E+23</v>
      </c>
      <c r="DS169" s="185">
        <f t="shared" si="3"/>
        <v>2241810.9730752967</v>
      </c>
      <c r="DT169" s="185">
        <f t="shared" si="3"/>
        <v>0</v>
      </c>
      <c r="DU169" s="185">
        <f t="shared" si="3"/>
        <v>2.5220198177021763E-15</v>
      </c>
      <c r="DV169" s="185">
        <f t="shared" si="3"/>
        <v>-9.5987487850288759E+24</v>
      </c>
      <c r="DW169" s="185">
        <f t="shared" si="3"/>
        <v>87940962.617265791</v>
      </c>
      <c r="DX169" s="185">
        <f t="shared" si="3"/>
        <v>0</v>
      </c>
      <c r="DY169" s="185">
        <f t="shared" si="3"/>
        <v>6.4702938499915281E-37</v>
      </c>
      <c r="DZ169" s="185">
        <f t="shared" si="3"/>
        <v>-3263723897.3923073</v>
      </c>
      <c r="EA169" s="185">
        <f t="shared" si="3"/>
        <v>47777355.077635005</v>
      </c>
      <c r="EB169" s="185">
        <f t="shared" ref="EB169:FB169" si="4">EB168*Molweight</f>
        <v>0</v>
      </c>
      <c r="EC169" s="185">
        <f t="shared" si="4"/>
        <v>9.5279211905069125E-11</v>
      </c>
      <c r="ED169" s="185">
        <f t="shared" si="4"/>
        <v>149.09957213620632</v>
      </c>
      <c r="EE169" s="185">
        <f t="shared" si="4"/>
        <v>3.0416026718947473E-2</v>
      </c>
      <c r="EF169" s="185">
        <f t="shared" si="4"/>
        <v>0</v>
      </c>
      <c r="EG169" s="185">
        <f t="shared" si="4"/>
        <v>3.651131583247295E-7</v>
      </c>
      <c r="EH169" s="185">
        <f t="shared" si="4"/>
        <v>0.35642876865724082</v>
      </c>
      <c r="EI169" s="185">
        <f t="shared" si="4"/>
        <v>6.4170014081856612E-9</v>
      </c>
      <c r="EJ169" s="185">
        <f t="shared" si="4"/>
        <v>1.7575713179585694E-7</v>
      </c>
      <c r="EK169" s="185">
        <f t="shared" si="4"/>
        <v>0.17157927398906284</v>
      </c>
      <c r="EL169" s="185">
        <f t="shared" si="4"/>
        <v>6.4169994830852396E-9</v>
      </c>
      <c r="EM169" s="185">
        <f t="shared" si="4"/>
        <v>0</v>
      </c>
      <c r="EN169" s="185">
        <f t="shared" si="4"/>
        <v>1.1569363122224389E-9</v>
      </c>
      <c r="EO169" s="185">
        <f t="shared" si="4"/>
        <v>-1.1198540249200372E+24</v>
      </c>
      <c r="EP169" s="185">
        <f t="shared" si="4"/>
        <v>15927200.627270989</v>
      </c>
      <c r="EQ169" s="185">
        <f t="shared" si="4"/>
        <v>0</v>
      </c>
      <c r="ER169" s="185">
        <f t="shared" si="4"/>
        <v>1.7779120709910764E-14</v>
      </c>
      <c r="ES169" s="185">
        <f t="shared" si="4"/>
        <v>-3.608031211584804E+25</v>
      </c>
      <c r="ET169" s="185">
        <f t="shared" si="4"/>
        <v>849123981.75336587</v>
      </c>
      <c r="EU169" s="185">
        <f t="shared" si="4"/>
        <v>0</v>
      </c>
      <c r="EV169" s="185">
        <f t="shared" si="4"/>
        <v>4.4183800731406409E-36</v>
      </c>
      <c r="EW169" s="185">
        <f t="shared" si="4"/>
        <v>-12268925606.982695</v>
      </c>
      <c r="EX169" s="185">
        <f t="shared" si="4"/>
        <v>461359488.55667698</v>
      </c>
      <c r="EY169" s="185">
        <f t="shared" si="4"/>
        <v>0</v>
      </c>
      <c r="EZ169" s="185">
        <f t="shared" si="4"/>
        <v>3.2247012380865691E-10</v>
      </c>
      <c r="FA169" s="185">
        <f t="shared" si="4"/>
        <v>31.49906734876334</v>
      </c>
      <c r="FB169" s="185">
        <f t="shared" si="4"/>
        <v>8.5450162667492516E-2</v>
      </c>
    </row>
    <row r="170" spans="2:160" ht="12.75" customHeight="1" x14ac:dyDescent="0.3">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4113</v>
      </c>
      <c r="C171" s="389"/>
      <c r="D171" s="185">
        <f>D168/D4</f>
        <v>0</v>
      </c>
      <c r="E171" s="185">
        <f t="shared" ref="E171:AI171" si="5">E168/E4</f>
        <v>8.525026014991078E-12</v>
      </c>
      <c r="F171" s="185">
        <f t="shared" si="5"/>
        <v>2.3841574822884959E-10</v>
      </c>
      <c r="G171" s="185">
        <f>G168/G4</f>
        <v>2.5368303958658477E-17</v>
      </c>
      <c r="H171" s="185">
        <f t="shared" si="5"/>
        <v>1.4035550200904409E-5</v>
      </c>
      <c r="I171" s="185">
        <f t="shared" si="5"/>
        <v>3.925606392051907E-4</v>
      </c>
      <c r="J171" s="185">
        <f t="shared" si="5"/>
        <v>8.4560987827224257E-11</v>
      </c>
      <c r="K171" s="32">
        <f t="shared" si="5"/>
        <v>0</v>
      </c>
      <c r="L171" s="185">
        <f t="shared" si="5"/>
        <v>9.7582725512802026E-12</v>
      </c>
      <c r="M171" s="185">
        <f t="shared" si="5"/>
        <v>3.1089953822995586E-3</v>
      </c>
      <c r="N171" s="185">
        <f t="shared" si="5"/>
        <v>6.4911256786425208E-6</v>
      </c>
      <c r="O171" s="185">
        <f t="shared" si="5"/>
        <v>0</v>
      </c>
      <c r="P171" s="185">
        <f t="shared" si="5"/>
        <v>1.3112028648944308E-8</v>
      </c>
      <c r="Q171" s="185">
        <f t="shared" si="5"/>
        <v>6.0405380458738991E-3</v>
      </c>
      <c r="R171" s="185">
        <f t="shared" si="5"/>
        <v>6.2322238604340174E-5</v>
      </c>
      <c r="S171" s="185">
        <f t="shared" si="5"/>
        <v>0</v>
      </c>
      <c r="T171" s="185">
        <f t="shared" si="5"/>
        <v>2.2765638183404557E-12</v>
      </c>
      <c r="U171" s="185">
        <f t="shared" si="5"/>
        <v>-1140671275.700984</v>
      </c>
      <c r="V171" s="185">
        <f t="shared" si="5"/>
        <v>5.6307174872558977E-6</v>
      </c>
      <c r="W171" s="185">
        <f t="shared" si="5"/>
        <v>0</v>
      </c>
      <c r="X171" s="185">
        <f t="shared" si="5"/>
        <v>2.4537922231207216E-27</v>
      </c>
      <c r="Y171" s="185">
        <f t="shared" si="5"/>
        <v>3.5792745630622073E-13</v>
      </c>
      <c r="Z171" s="185">
        <f t="shared" si="5"/>
        <v>1.1940624943187581</v>
      </c>
      <c r="AA171" s="185">
        <f t="shared" si="5"/>
        <v>0</v>
      </c>
      <c r="AB171" s="185">
        <f t="shared" si="5"/>
        <v>3.2970538808044703E-24</v>
      </c>
      <c r="AC171" s="185">
        <f t="shared" si="5"/>
        <v>6.8462607906449304E-14</v>
      </c>
      <c r="AD171" s="185">
        <f t="shared" si="5"/>
        <v>1.1286328291218295</v>
      </c>
      <c r="AE171" s="185">
        <f t="shared" si="5"/>
        <v>0</v>
      </c>
      <c r="AF171" s="185">
        <f t="shared" si="5"/>
        <v>5.7246020067655238E-29</v>
      </c>
      <c r="AG171" s="185">
        <f t="shared" si="5"/>
        <v>-3.8784597711117939E-2</v>
      </c>
      <c r="AH171" s="185">
        <f t="shared" si="5"/>
        <v>0.30591067089099161</v>
      </c>
      <c r="AI171" s="185">
        <f t="shared" si="5"/>
        <v>0</v>
      </c>
      <c r="AJ171" s="185">
        <f t="shared" ref="AJ171:BO171" si="6">AJ168/AJ4</f>
        <v>3.19465323429345E-10</v>
      </c>
      <c r="AK171" s="185">
        <f t="shared" si="6"/>
        <v>1.6397630259716708E-3</v>
      </c>
      <c r="AL171" s="185">
        <f t="shared" si="6"/>
        <v>7.3887058324233382E-2</v>
      </c>
      <c r="AM171" s="185">
        <f t="shared" si="6"/>
        <v>0</v>
      </c>
      <c r="AN171" s="185">
        <f t="shared" si="6"/>
        <v>4.6574616341610156E-9</v>
      </c>
      <c r="AO171" s="185">
        <f t="shared" si="6"/>
        <v>2.3120558151526463E-3</v>
      </c>
      <c r="AP171" s="185">
        <f t="shared" si="6"/>
        <v>2.3671276985088205</v>
      </c>
      <c r="AQ171" s="185">
        <f t="shared" si="6"/>
        <v>0</v>
      </c>
      <c r="AR171" s="185">
        <f t="shared" si="6"/>
        <v>3.1946532342934505E-10</v>
      </c>
      <c r="AS171" s="185">
        <f t="shared" si="6"/>
        <v>1.6397630259716706E-3</v>
      </c>
      <c r="AT171" s="185">
        <f t="shared" si="6"/>
        <v>7.3887058324233396E-2</v>
      </c>
      <c r="AU171" s="185">
        <f t="shared" si="6"/>
        <v>0</v>
      </c>
      <c r="AV171" s="185">
        <f t="shared" si="6"/>
        <v>1.5772978290472491E-15</v>
      </c>
      <c r="AW171" s="185">
        <f t="shared" si="6"/>
        <v>1.6924570034332892E-12</v>
      </c>
      <c r="AX171" s="185">
        <f t="shared" si="6"/>
        <v>1.0455744692752229E-19</v>
      </c>
      <c r="AY171" s="185">
        <f t="shared" si="6"/>
        <v>2.5937073149663973E-9</v>
      </c>
      <c r="AZ171" s="185">
        <f t="shared" si="6"/>
        <v>2.783125163466785E-6</v>
      </c>
      <c r="BA171" s="185">
        <f t="shared" si="6"/>
        <v>3.4852471853429409E-13</v>
      </c>
      <c r="BB171" s="185">
        <f t="shared" si="6"/>
        <v>0</v>
      </c>
      <c r="BC171" s="185">
        <f t="shared" si="6"/>
        <v>1.7966565519995077E-15</v>
      </c>
      <c r="BD171" s="185">
        <f t="shared" si="6"/>
        <v>1.1098435166519804E-5</v>
      </c>
      <c r="BE171" s="185">
        <f t="shared" si="6"/>
        <v>3.2938310836218548E-11</v>
      </c>
      <c r="BF171" s="185">
        <f t="shared" si="6"/>
        <v>0</v>
      </c>
      <c r="BG171" s="185">
        <f t="shared" si="6"/>
        <v>1.5054928696981199E-15</v>
      </c>
      <c r="BH171" s="185">
        <f t="shared" si="6"/>
        <v>1.3318119432709867E-5</v>
      </c>
      <c r="BI171" s="185">
        <f t="shared" si="6"/>
        <v>3.0094211086097331E-10</v>
      </c>
      <c r="BJ171" s="185">
        <f t="shared" si="6"/>
        <v>0</v>
      </c>
      <c r="BK171" s="185">
        <f t="shared" si="6"/>
        <v>1.9911149639249843E-17</v>
      </c>
      <c r="BL171" s="185">
        <f t="shared" si="6"/>
        <v>-1267412528.5573208</v>
      </c>
      <c r="BM171" s="185">
        <f t="shared" si="6"/>
        <v>1.2057732408017078E-8</v>
      </c>
      <c r="BN171" s="185">
        <f t="shared" si="6"/>
        <v>0</v>
      </c>
      <c r="BO171" s="185">
        <f t="shared" si="6"/>
        <v>4.5178303045478024E-31</v>
      </c>
      <c r="BP171" s="185">
        <f t="shared" ref="BP171:CU171" si="7">BP168/BP4</f>
        <v>1.2871205347695637E-15</v>
      </c>
      <c r="BQ171" s="185">
        <f t="shared" si="7"/>
        <v>6.1036679072841078E-6</v>
      </c>
      <c r="BR171" s="185">
        <f t="shared" si="7"/>
        <v>0</v>
      </c>
      <c r="BS171" s="185">
        <f t="shared" si="7"/>
        <v>3.7856011769477698E-31</v>
      </c>
      <c r="BT171" s="185">
        <f t="shared" si="7"/>
        <v>1.5094559244406047E-16</v>
      </c>
      <c r="BU171" s="185">
        <f t="shared" si="7"/>
        <v>5.4499509900349086E-6</v>
      </c>
      <c r="BV171" s="185">
        <f t="shared" si="7"/>
        <v>0</v>
      </c>
      <c r="BW171" s="185">
        <f t="shared" si="7"/>
        <v>5.0068180063121881E-34</v>
      </c>
      <c r="BX171" s="185">
        <f t="shared" si="7"/>
        <v>-4.3093997456820556E-2</v>
      </c>
      <c r="BY171" s="185">
        <f t="shared" si="7"/>
        <v>6.5508330309751886E-4</v>
      </c>
      <c r="BZ171" s="185">
        <f t="shared" si="7"/>
        <v>0</v>
      </c>
      <c r="CA171" s="185">
        <f t="shared" si="7"/>
        <v>5.9052632658594036E-14</v>
      </c>
      <c r="CB171" s="185">
        <f t="shared" si="7"/>
        <v>1.1391790564379883E-5</v>
      </c>
      <c r="CC171" s="185">
        <f t="shared" si="7"/>
        <v>1.3664094777870058E-5</v>
      </c>
      <c r="CD171" s="185">
        <f t="shared" si="7"/>
        <v>0</v>
      </c>
      <c r="CE171" s="185">
        <f t="shared" si="7"/>
        <v>1.4763202949307646E-14</v>
      </c>
      <c r="CF171" s="185">
        <f t="shared" si="7"/>
        <v>6.2588574931227276E-6</v>
      </c>
      <c r="CG171" s="185">
        <f t="shared" si="7"/>
        <v>7.5068723627667329E-6</v>
      </c>
      <c r="CH171" s="185">
        <f t="shared" si="7"/>
        <v>0</v>
      </c>
      <c r="CI171" s="185">
        <f t="shared" si="7"/>
        <v>5.9052632658594036E-14</v>
      </c>
      <c r="CJ171" s="185">
        <f t="shared" si="7"/>
        <v>1.1391790564379885E-5</v>
      </c>
      <c r="CK171" s="185">
        <f t="shared" si="7"/>
        <v>1.3664094777870058E-5</v>
      </c>
      <c r="CL171" s="185">
        <f t="shared" si="7"/>
        <v>0</v>
      </c>
      <c r="CM171" s="185">
        <f t="shared" si="7"/>
        <v>1.2460232437435297E-19</v>
      </c>
      <c r="CN171" s="185">
        <f t="shared" si="7"/>
        <v>4.9849594753942993E-15</v>
      </c>
      <c r="CO171" s="185">
        <f t="shared" si="7"/>
        <v>1.7652183162678705E-22</v>
      </c>
      <c r="CP171" s="185">
        <f t="shared" si="7"/>
        <v>2.0489596463008505E-13</v>
      </c>
      <c r="CQ171" s="185">
        <f t="shared" si="7"/>
        <v>8.1974112941646239E-9</v>
      </c>
      <c r="CR171" s="185">
        <f t="shared" si="7"/>
        <v>5.8840592890079192E-16</v>
      </c>
      <c r="CS171" s="185">
        <f t="shared" si="7"/>
        <v>0</v>
      </c>
      <c r="CT171" s="185">
        <f t="shared" si="7"/>
        <v>3.1535893563662058E-21</v>
      </c>
      <c r="CU171" s="185">
        <f t="shared" si="7"/>
        <v>-1267412528.5573213</v>
      </c>
      <c r="CV171" s="185">
        <f t="shared" ref="CV171:EA171" si="8">CV168/CV4</f>
        <v>1.16184687339309E-8</v>
      </c>
      <c r="CW171" s="185">
        <f t="shared" si="8"/>
        <v>0</v>
      </c>
      <c r="CX171" s="185">
        <f t="shared" si="8"/>
        <v>1.7813657384073387E-27</v>
      </c>
      <c r="CY171" s="185">
        <f t="shared" si="8"/>
        <v>-1267412528.5573215</v>
      </c>
      <c r="CZ171" s="185">
        <f t="shared" si="8"/>
        <v>1.8065267925217628E-8</v>
      </c>
      <c r="DA171" s="185">
        <f t="shared" si="8"/>
        <v>0</v>
      </c>
      <c r="DB171" s="185">
        <f t="shared" si="8"/>
        <v>4.4793867840277546E-44</v>
      </c>
      <c r="DC171" s="185">
        <f t="shared" si="8"/>
        <v>-4.3093997456820604E-2</v>
      </c>
      <c r="DD171" s="185">
        <f t="shared" si="8"/>
        <v>9.814660819578928E-4</v>
      </c>
      <c r="DE171" s="185">
        <f t="shared" si="8"/>
        <v>0</v>
      </c>
      <c r="DF171" s="185">
        <f t="shared" si="8"/>
        <v>4.6650005814882969E-18</v>
      </c>
      <c r="DG171" s="185">
        <f t="shared" si="8"/>
        <v>3.3529613600711209E-8</v>
      </c>
      <c r="DH171" s="185">
        <f t="shared" si="8"/>
        <v>1.0898649614829468E-9</v>
      </c>
      <c r="DI171" s="185">
        <f t="shared" si="8"/>
        <v>0</v>
      </c>
      <c r="DJ171" s="185">
        <f t="shared" si="8"/>
        <v>5.8427650376805307E-23</v>
      </c>
      <c r="DK171" s="185">
        <f t="shared" si="8"/>
        <v>1.9299955750217963E-16</v>
      </c>
      <c r="DL171" s="185">
        <f t="shared" si="8"/>
        <v>4.3470025584566698E-24</v>
      </c>
      <c r="DM171" s="185">
        <f t="shared" si="8"/>
        <v>9.2965635729962807E-17</v>
      </c>
      <c r="DN171" s="185">
        <f t="shared" si="8"/>
        <v>3.0709384912807715E-10</v>
      </c>
      <c r="DO171" s="185">
        <f t="shared" si="8"/>
        <v>1.449000418118634E-17</v>
      </c>
      <c r="DP171" s="185">
        <f t="shared" si="8"/>
        <v>0</v>
      </c>
      <c r="DQ171" s="185">
        <f t="shared" si="8"/>
        <v>5.3984599147685273E-25</v>
      </c>
      <c r="DR171" s="185">
        <f t="shared" si="8"/>
        <v>-1544294853.6632602</v>
      </c>
      <c r="DS171" s="185">
        <f t="shared" si="8"/>
        <v>8.8802177582701384E-9</v>
      </c>
      <c r="DT171" s="185">
        <f t="shared" si="8"/>
        <v>0</v>
      </c>
      <c r="DU171" s="185">
        <f t="shared" si="8"/>
        <v>3.3300585168048802E-31</v>
      </c>
      <c r="DV171" s="185">
        <f t="shared" si="8"/>
        <v>-1267412528.5573215</v>
      </c>
      <c r="DW171" s="185">
        <f t="shared" si="8"/>
        <v>1.1611667342347103E-8</v>
      </c>
      <c r="DX171" s="185">
        <f t="shared" si="8"/>
        <v>0</v>
      </c>
      <c r="DY171" s="185">
        <f t="shared" si="8"/>
        <v>8.5433337954598637E-48</v>
      </c>
      <c r="DZ171" s="185">
        <f t="shared" si="8"/>
        <v>-4.309399745682059E-2</v>
      </c>
      <c r="EA171" s="185">
        <f t="shared" si="8"/>
        <v>6.3084908005063708E-4</v>
      </c>
      <c r="EB171" s="185">
        <f t="shared" ref="EB171:FB171" si="9">EB168/EB4</f>
        <v>0</v>
      </c>
      <c r="EC171" s="185">
        <f t="shared" si="9"/>
        <v>1.1322544492581E-21</v>
      </c>
      <c r="ED171" s="185">
        <f t="shared" si="9"/>
        <v>1.7718309225930636E-9</v>
      </c>
      <c r="EE171" s="185">
        <f t="shared" si="9"/>
        <v>3.6145010955374296E-13</v>
      </c>
      <c r="EF171" s="185">
        <f t="shared" si="9"/>
        <v>0</v>
      </c>
      <c r="EG171" s="185">
        <f t="shared" si="9"/>
        <v>2.8925590640420665E-23</v>
      </c>
      <c r="EH171" s="185">
        <f t="shared" si="9"/>
        <v>2.8237581745763798E-17</v>
      </c>
      <c r="EI171" s="185">
        <f t="shared" si="9"/>
        <v>5.0837816068818858E-25</v>
      </c>
      <c r="EJ171" s="185">
        <f t="shared" si="9"/>
        <v>4.6413728005020739E-17</v>
      </c>
      <c r="EK171" s="185">
        <f t="shared" si="9"/>
        <v>4.5310444434636683E-11</v>
      </c>
      <c r="EL171" s="185">
        <f t="shared" si="9"/>
        <v>1.6945933605824684E-18</v>
      </c>
      <c r="EM171" s="185">
        <f t="shared" si="9"/>
        <v>0</v>
      </c>
      <c r="EN171" s="185">
        <f t="shared" si="9"/>
        <v>1.3093809945080373E-24</v>
      </c>
      <c r="EO171" s="185">
        <f t="shared" si="9"/>
        <v>-1267412528.5573237</v>
      </c>
      <c r="EP171" s="185">
        <f t="shared" si="9"/>
        <v>1.802586155931414E-8</v>
      </c>
      <c r="EQ171" s="185">
        <f t="shared" si="9"/>
        <v>0</v>
      </c>
      <c r="ER171" s="185">
        <f t="shared" si="9"/>
        <v>6.7072671476334841E-31</v>
      </c>
      <c r="ES171" s="185">
        <f t="shared" si="9"/>
        <v>-1361148822.1466973</v>
      </c>
      <c r="ET171" s="185">
        <f t="shared" si="9"/>
        <v>3.2033650482542171E-8</v>
      </c>
      <c r="EU171" s="185">
        <f t="shared" si="9"/>
        <v>0</v>
      </c>
      <c r="EV171" s="185">
        <f t="shared" si="9"/>
        <v>1.6668572081753634E-47</v>
      </c>
      <c r="EW171" s="185">
        <f t="shared" si="9"/>
        <v>-4.6285169555433679E-2</v>
      </c>
      <c r="EX171" s="185">
        <f t="shared" si="9"/>
        <v>1.7405030267442943E-3</v>
      </c>
      <c r="EY171" s="185">
        <f t="shared" si="9"/>
        <v>0</v>
      </c>
      <c r="EZ171" s="185">
        <f t="shared" si="9"/>
        <v>1.7031497923478276E-21</v>
      </c>
      <c r="FA171" s="185">
        <f t="shared" si="9"/>
        <v>1.6636465226784621E-10</v>
      </c>
      <c r="FB171" s="192">
        <f t="shared" si="9"/>
        <v>4.5131134966656099E-13</v>
      </c>
    </row>
    <row r="172" spans="2:160" ht="12.75" customHeight="1" x14ac:dyDescent="0.3">
      <c r="B172" s="197" t="s">
        <v>4114</v>
      </c>
      <c r="C172" s="441">
        <f>SUM(D172:FB172)</f>
        <v>1</v>
      </c>
      <c r="D172" s="198">
        <f t="shared" ref="D172:AI172" si="10">D168/SUM($D$168:$FB$168)</f>
        <v>0</v>
      </c>
      <c r="E172" s="198">
        <f t="shared" si="10"/>
        <v>-3.1065737223159476E-24</v>
      </c>
      <c r="F172" s="198">
        <f t="shared" si="10"/>
        <v>-8.6880215630029855E-23</v>
      </c>
      <c r="G172" s="198">
        <f t="shared" si="10"/>
        <v>-9.2443713742467125E-30</v>
      </c>
      <c r="H172" s="198">
        <f t="shared" si="10"/>
        <v>-1.5343931392948923E-24</v>
      </c>
      <c r="I172" s="198">
        <f t="shared" si="10"/>
        <v>-4.2915478405317445E-23</v>
      </c>
      <c r="J172" s="198">
        <f t="shared" si="10"/>
        <v>-9.2443686009352963E-30</v>
      </c>
      <c r="K172" s="198">
        <f t="shared" si="10"/>
        <v>0</v>
      </c>
      <c r="L172" s="198">
        <f t="shared" si="10"/>
        <v>-8.8512198554797863E-28</v>
      </c>
      <c r="M172" s="198">
        <f t="shared" si="10"/>
        <v>-2.8200074873697436E-19</v>
      </c>
      <c r="N172" s="198">
        <f t="shared" si="10"/>
        <v>-5.8877614033928432E-22</v>
      </c>
      <c r="O172" s="198">
        <f t="shared" si="10"/>
        <v>0</v>
      </c>
      <c r="P172" s="198">
        <f t="shared" si="10"/>
        <v>-3.9247682154170687E-25</v>
      </c>
      <c r="Q172" s="198">
        <f t="shared" si="10"/>
        <v>-1.8080887680467504E-19</v>
      </c>
      <c r="R172" s="198">
        <f t="shared" si="10"/>
        <v>-1.8654652741904015E-21</v>
      </c>
      <c r="S172" s="198">
        <f t="shared" si="10"/>
        <v>0</v>
      </c>
      <c r="T172" s="198">
        <f t="shared" si="10"/>
        <v>-3.6136890249004446E-29</v>
      </c>
      <c r="U172" s="198">
        <f t="shared" si="10"/>
        <v>1.8106372581396235E-8</v>
      </c>
      <c r="V172" s="198">
        <f t="shared" si="10"/>
        <v>-8.9378834109928276E-23</v>
      </c>
      <c r="W172" s="198">
        <f t="shared" si="10"/>
        <v>0</v>
      </c>
      <c r="X172" s="198">
        <f t="shared" si="10"/>
        <v>-6.6771206683477997E-47</v>
      </c>
      <c r="Y172" s="198">
        <f t="shared" si="10"/>
        <v>-9.7397195807879977E-33</v>
      </c>
      <c r="Z172" s="198">
        <f t="shared" si="10"/>
        <v>-3.2492153512389941E-20</v>
      </c>
      <c r="AA172" s="198">
        <f t="shared" si="10"/>
        <v>0</v>
      </c>
      <c r="AB172" s="198">
        <f t="shared" si="10"/>
        <v>-9.8689322776462494E-43</v>
      </c>
      <c r="AC172" s="198">
        <f t="shared" si="10"/>
        <v>-2.049262357868837E-32</v>
      </c>
      <c r="AD172" s="198">
        <f t="shared" si="10"/>
        <v>-3.3782890300275875E-19</v>
      </c>
      <c r="AE172" s="198">
        <f t="shared" si="10"/>
        <v>0</v>
      </c>
      <c r="AF172" s="198">
        <f t="shared" si="10"/>
        <v>-2.7260731208736895E-48</v>
      </c>
      <c r="AG172" s="198">
        <f t="shared" si="10"/>
        <v>1.8469344977908164E-21</v>
      </c>
      <c r="AH172" s="198">
        <f t="shared" si="10"/>
        <v>-1.4567560440337998E-20</v>
      </c>
      <c r="AI172" s="198">
        <f t="shared" si="10"/>
        <v>0</v>
      </c>
      <c r="AJ172" s="198">
        <f t="shared" ref="AJ172:BO172" si="11">AJ168/SUM($D$168:$FB$168)</f>
        <v>-1.5647597579063603E-27</v>
      </c>
      <c r="AK172" s="198">
        <f t="shared" si="11"/>
        <v>-8.0316547911989866E-21</v>
      </c>
      <c r="AL172" s="198">
        <f t="shared" si="11"/>
        <v>-3.6190311441238728E-19</v>
      </c>
      <c r="AM172" s="198">
        <f t="shared" si="11"/>
        <v>0</v>
      </c>
      <c r="AN172" s="198">
        <f t="shared" si="11"/>
        <v>-2.0277794050511801E-25</v>
      </c>
      <c r="AO172" s="198">
        <f t="shared" si="11"/>
        <v>-1.0066296909260319E-19</v>
      </c>
      <c r="AP172" s="198">
        <f t="shared" si="11"/>
        <v>-1.030607050191418E-16</v>
      </c>
      <c r="AQ172" s="198">
        <f t="shared" si="11"/>
        <v>0</v>
      </c>
      <c r="AR172" s="198">
        <f t="shared" si="11"/>
        <v>-5.7954065107642966E-28</v>
      </c>
      <c r="AS172" s="198">
        <f t="shared" si="11"/>
        <v>-2.9746869597033273E-21</v>
      </c>
      <c r="AT172" s="198">
        <f t="shared" si="11"/>
        <v>-1.3403819052310639E-19</v>
      </c>
      <c r="AU172" s="198">
        <f t="shared" si="11"/>
        <v>0</v>
      </c>
      <c r="AV172" s="198">
        <f t="shared" si="11"/>
        <v>-1.8024854918917246E-26</v>
      </c>
      <c r="AW172" s="198">
        <f t="shared" si="11"/>
        <v>-1.9340857117528326E-23</v>
      </c>
      <c r="AX172" s="198">
        <f t="shared" si="11"/>
        <v>-1.1948490493386226E-30</v>
      </c>
      <c r="AY172" s="198">
        <f t="shared" si="11"/>
        <v>-8.892017194237179E-27</v>
      </c>
      <c r="AZ172" s="198">
        <f t="shared" si="11"/>
        <v>-9.5413991642235188E-24</v>
      </c>
      <c r="BA172" s="198">
        <f t="shared" si="11"/>
        <v>-1.1948486908839081E-30</v>
      </c>
      <c r="BB172" s="198">
        <f t="shared" si="11"/>
        <v>0</v>
      </c>
      <c r="BC172" s="198">
        <f t="shared" si="11"/>
        <v>-2.4853266156717636E-30</v>
      </c>
      <c r="BD172" s="198">
        <f t="shared" si="11"/>
        <v>-1.5352537067232817E-20</v>
      </c>
      <c r="BE172" s="198">
        <f t="shared" si="11"/>
        <v>-4.556377817753676E-26</v>
      </c>
      <c r="BF172" s="198">
        <f t="shared" si="11"/>
        <v>0</v>
      </c>
      <c r="BG172" s="198">
        <f t="shared" si="11"/>
        <v>-6.8724414425129498E-31</v>
      </c>
      <c r="BH172" s="198">
        <f t="shared" si="11"/>
        <v>-6.0796034154612398E-21</v>
      </c>
      <c r="BI172" s="198">
        <f t="shared" si="11"/>
        <v>-1.3737740484237526E-25</v>
      </c>
      <c r="BJ172" s="198">
        <f t="shared" si="11"/>
        <v>0</v>
      </c>
      <c r="BK172" s="198">
        <f t="shared" si="11"/>
        <v>-2.3473085569959432E-29</v>
      </c>
      <c r="BL172" s="198">
        <f t="shared" si="11"/>
        <v>1.4941418890559593E-3</v>
      </c>
      <c r="BM172" s="198">
        <f t="shared" si="11"/>
        <v>-1.4214758550914148E-20</v>
      </c>
      <c r="BN172" s="198">
        <f t="shared" si="11"/>
        <v>0</v>
      </c>
      <c r="BO172" s="198">
        <f t="shared" si="11"/>
        <v>-1.8748631543104514E-49</v>
      </c>
      <c r="BP172" s="198">
        <f t="shared" ref="BP172:CU172" si="12">BP168/SUM($D$168:$FB$168)</f>
        <v>-5.3414464535479236E-34</v>
      </c>
      <c r="BQ172" s="198">
        <f t="shared" si="12"/>
        <v>-2.5329729746588077E-24</v>
      </c>
      <c r="BR172" s="198">
        <f t="shared" si="12"/>
        <v>0</v>
      </c>
      <c r="BS172" s="198">
        <f t="shared" si="12"/>
        <v>-1.728093366426798E-48</v>
      </c>
      <c r="BT172" s="198">
        <f t="shared" si="12"/>
        <v>-6.8905324359672469E-34</v>
      </c>
      <c r="BU172" s="198">
        <f t="shared" si="12"/>
        <v>-2.4878542965859891E-23</v>
      </c>
      <c r="BV172" s="198">
        <f t="shared" si="12"/>
        <v>0</v>
      </c>
      <c r="BW172" s="198">
        <f t="shared" si="12"/>
        <v>-8.8537429750194581E-50</v>
      </c>
      <c r="BX172" s="198">
        <f t="shared" si="12"/>
        <v>7.6204722593833623E-18</v>
      </c>
      <c r="BY172" s="198">
        <f t="shared" si="12"/>
        <v>-1.1584082316433529E-19</v>
      </c>
      <c r="BZ172" s="198">
        <f t="shared" si="12"/>
        <v>0</v>
      </c>
      <c r="CA172" s="198">
        <f t="shared" si="12"/>
        <v>-4.4111459663573517E-30</v>
      </c>
      <c r="CB172" s="198">
        <f t="shared" si="12"/>
        <v>-8.5095022415294425E-22</v>
      </c>
      <c r="CC172" s="198">
        <f t="shared" si="12"/>
        <v>-1.0206880514844284E-21</v>
      </c>
      <c r="CD172" s="198">
        <f t="shared" si="12"/>
        <v>0</v>
      </c>
      <c r="CE172" s="198">
        <f t="shared" si="12"/>
        <v>-9.8025763283412158E-30</v>
      </c>
      <c r="CF172" s="198">
        <f t="shared" si="12"/>
        <v>-4.1558006426663111E-21</v>
      </c>
      <c r="CG172" s="198">
        <f t="shared" si="12"/>
        <v>-4.9844664180131101E-21</v>
      </c>
      <c r="CH172" s="198">
        <f t="shared" si="12"/>
        <v>0</v>
      </c>
      <c r="CI172" s="198">
        <f t="shared" si="12"/>
        <v>-1.6337577653175375E-30</v>
      </c>
      <c r="CJ172" s="198">
        <f t="shared" si="12"/>
        <v>-3.1516674968627555E-22</v>
      </c>
      <c r="CK172" s="198">
        <f t="shared" si="12"/>
        <v>-3.7803261166089923E-22</v>
      </c>
      <c r="CL172" s="198">
        <f t="shared" si="12"/>
        <v>0</v>
      </c>
      <c r="CM172" s="198">
        <f t="shared" si="12"/>
        <v>-1.5342543346456251E-29</v>
      </c>
      <c r="CN172" s="198">
        <f t="shared" si="12"/>
        <v>-6.1380842785712279E-25</v>
      </c>
      <c r="CO172" s="198">
        <f t="shared" si="12"/>
        <v>-2.1735500255942925E-32</v>
      </c>
      <c r="CP172" s="198">
        <f t="shared" si="12"/>
        <v>-7.5687798794340198E-30</v>
      </c>
      <c r="CQ172" s="198">
        <f t="shared" si="12"/>
        <v>-3.0280929045494904E-25</v>
      </c>
      <c r="CR172" s="198">
        <f t="shared" si="12"/>
        <v>-2.1735493735292848E-32</v>
      </c>
      <c r="CS172" s="198">
        <f t="shared" si="12"/>
        <v>0</v>
      </c>
      <c r="CT172" s="198">
        <f t="shared" si="12"/>
        <v>-1.9415406636731772E-32</v>
      </c>
      <c r="CU172" s="198">
        <f t="shared" si="12"/>
        <v>7.8029593703294207E-3</v>
      </c>
      <c r="CV172" s="198">
        <f t="shared" ref="CV172:EA172" si="13">CV168/SUM($D$168:$FB$168)</f>
        <v>-7.1530332416313422E-20</v>
      </c>
      <c r="CW172" s="198">
        <f t="shared" si="13"/>
        <v>0</v>
      </c>
      <c r="CX172" s="198">
        <f t="shared" si="13"/>
        <v>-3.2901500105048108E-37</v>
      </c>
      <c r="CY172" s="198">
        <f t="shared" si="13"/>
        <v>0.23408878110988268</v>
      </c>
      <c r="CZ172" s="198">
        <f t="shared" si="13"/>
        <v>-3.336622018287389E-18</v>
      </c>
      <c r="DA172" s="198">
        <f t="shared" si="13"/>
        <v>0</v>
      </c>
      <c r="DB172" s="198">
        <f t="shared" si="13"/>
        <v>-8.2733456452916084E-59</v>
      </c>
      <c r="DC172" s="198">
        <f t="shared" si="13"/>
        <v>7.9593826875787238E-17</v>
      </c>
      <c r="DD172" s="198">
        <f t="shared" si="13"/>
        <v>-1.812749942496914E-18</v>
      </c>
      <c r="DE172" s="198">
        <f t="shared" si="13"/>
        <v>0</v>
      </c>
      <c r="DF172" s="198">
        <f t="shared" si="13"/>
        <v>-1.4360284903192039E-32</v>
      </c>
      <c r="DG172" s="198">
        <f t="shared" si="13"/>
        <v>-1.0321430739169214E-22</v>
      </c>
      <c r="DH172" s="198">
        <f t="shared" si="13"/>
        <v>-3.3549344913282725E-24</v>
      </c>
      <c r="DI172" s="198">
        <f t="shared" si="13"/>
        <v>0</v>
      </c>
      <c r="DJ172" s="198">
        <f t="shared" si="13"/>
        <v>-3.9416510047599845E-33</v>
      </c>
      <c r="DK172" s="198">
        <f t="shared" si="13"/>
        <v>-1.3020152185491567E-26</v>
      </c>
      <c r="DL172" s="198">
        <f t="shared" si="13"/>
        <v>-2.9325784781236012E-34</v>
      </c>
      <c r="DM172" s="198">
        <f t="shared" si="13"/>
        <v>-1.8814966327755723E-33</v>
      </c>
      <c r="DN172" s="198">
        <f t="shared" si="13"/>
        <v>-6.2151572303435912E-27</v>
      </c>
      <c r="DO172" s="198">
        <f t="shared" si="13"/>
        <v>-2.9325775983500577E-34</v>
      </c>
      <c r="DP172" s="198">
        <f t="shared" si="13"/>
        <v>0</v>
      </c>
      <c r="DQ172" s="198">
        <f t="shared" si="13"/>
        <v>-2.1851487636723357E-36</v>
      </c>
      <c r="DR172" s="198">
        <f t="shared" si="13"/>
        <v>6.2508827397165451E-3</v>
      </c>
      <c r="DS172" s="198">
        <f t="shared" si="13"/>
        <v>-3.5944690081962261E-20</v>
      </c>
      <c r="DT172" s="198">
        <f t="shared" si="13"/>
        <v>0</v>
      </c>
      <c r="DU172" s="198">
        <f t="shared" si="13"/>
        <v>-4.043749531813309E-41</v>
      </c>
      <c r="DV172" s="198">
        <f t="shared" si="13"/>
        <v>0.15390416694194953</v>
      </c>
      <c r="DW172" s="198">
        <f t="shared" si="13"/>
        <v>-1.4100255038232778E-18</v>
      </c>
      <c r="DX172" s="198">
        <f t="shared" si="13"/>
        <v>0</v>
      </c>
      <c r="DY172" s="198">
        <f t="shared" si="13"/>
        <v>-1.037432281179937E-62</v>
      </c>
      <c r="DZ172" s="198">
        <f t="shared" si="13"/>
        <v>5.2329810770767531E-17</v>
      </c>
      <c r="EA172" s="198">
        <f t="shared" si="13"/>
        <v>-7.6605130487233789E-19</v>
      </c>
      <c r="EB172" s="198">
        <f t="shared" ref="EB172:FB172" si="14">EB168/SUM($D$168:$FB$168)</f>
        <v>0</v>
      </c>
      <c r="EC172" s="198">
        <f t="shared" si="14"/>
        <v>-1.527685333114073E-36</v>
      </c>
      <c r="ED172" s="198">
        <f t="shared" si="14"/>
        <v>-2.3906288157904852E-24</v>
      </c>
      <c r="EE172" s="198">
        <f t="shared" si="14"/>
        <v>-4.8768369281263637E-28</v>
      </c>
      <c r="EF172" s="198">
        <f t="shared" si="14"/>
        <v>0</v>
      </c>
      <c r="EG172" s="198">
        <f t="shared" si="14"/>
        <v>-5.8541417980596284E-33</v>
      </c>
      <c r="EH172" s="198">
        <f t="shared" si="14"/>
        <v>-5.7148982583955063E-27</v>
      </c>
      <c r="EI172" s="198">
        <f t="shared" si="14"/>
        <v>-1.0288874915994169E-34</v>
      </c>
      <c r="EJ172" s="198">
        <f t="shared" si="14"/>
        <v>-2.8180500978770453E-33</v>
      </c>
      <c r="EK172" s="198">
        <f t="shared" si="14"/>
        <v>-2.7510632707648039E-27</v>
      </c>
      <c r="EL172" s="198">
        <f t="shared" si="14"/>
        <v>-1.0288871829331697E-34</v>
      </c>
      <c r="EM172" s="198">
        <f t="shared" si="14"/>
        <v>0</v>
      </c>
      <c r="EN172" s="198">
        <f t="shared" si="14"/>
        <v>-1.8550055150438031E-35</v>
      </c>
      <c r="EO172" s="198">
        <f t="shared" si="14"/>
        <v>1.7955486143227471E-2</v>
      </c>
      <c r="EP172" s="198">
        <f t="shared" si="14"/>
        <v>-2.553731323899903E-19</v>
      </c>
      <c r="EQ172" s="198">
        <f t="shared" si="14"/>
        <v>0</v>
      </c>
      <c r="ER172" s="198">
        <f t="shared" si="14"/>
        <v>-2.8506640012153909E-40</v>
      </c>
      <c r="ES172" s="198">
        <f t="shared" si="14"/>
        <v>0.57850356369946565</v>
      </c>
      <c r="ET172" s="198">
        <f t="shared" si="14"/>
        <v>-1.3614661865722513E-17</v>
      </c>
      <c r="EU172" s="198">
        <f t="shared" si="14"/>
        <v>0</v>
      </c>
      <c r="EV172" s="198">
        <f t="shared" si="14"/>
        <v>-7.0843306728708668E-62</v>
      </c>
      <c r="EW172" s="198">
        <f t="shared" si="14"/>
        <v>1.9671717815560518E-16</v>
      </c>
      <c r="EX172" s="198">
        <f t="shared" si="14"/>
        <v>-7.397333687680802E-18</v>
      </c>
      <c r="EY172" s="198">
        <f t="shared" si="14"/>
        <v>0</v>
      </c>
      <c r="EZ172" s="198">
        <f t="shared" si="14"/>
        <v>-5.1704130277735324E-36</v>
      </c>
      <c r="FA172" s="198">
        <f t="shared" si="14"/>
        <v>-5.050489213053409E-25</v>
      </c>
      <c r="FB172" s="387">
        <f t="shared" si="14"/>
        <v>-1.3700885808061024E-27</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3.203009291289352</v>
      </c>
      <c r="D177" s="190">
        <f t="shared" ref="D177:D208" si="20">D10*D$168</f>
        <v>0</v>
      </c>
      <c r="E177" s="189">
        <f>$C177+SUM($D177:D177,F177:$FB177)-SUM(E$176:E176,E178:E$330)-E$331</f>
        <v>2.2340038703623022E-16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3.4110351365810214E-6</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3.0917412344236048</v>
      </c>
      <c r="F178" s="189">
        <f>$C178+SUM($D178:E178,G178:$FB178)-SUM(F$176:F177,F179:F$330)-F$331</f>
        <v>-5.0385246647653703E-16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3.6600762389628829E-3</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4.9136096623306909E-7</v>
      </c>
      <c r="F179" s="184">
        <f t="shared" ref="F179:F210" si="32">F12*F$168</f>
        <v>0</v>
      </c>
      <c r="G179" s="189">
        <f>$C179+SUM($D179:F179,H179:$FB179)-SUM(G$176:G178,G180:G$330)-G$331</f>
        <v>-1.2532917191172094E-23</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2.2611400250034848E-10</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7.152140035943487E-2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2.0003837569645788</v>
      </c>
      <c r="G181" s="190">
        <f t="shared" si="38"/>
        <v>0</v>
      </c>
      <c r="H181" s="190">
        <f t="shared" ref="H181:H212" si="44">H14*H$168</f>
        <v>0</v>
      </c>
      <c r="I181" s="189">
        <f>$C181+SUM($D181:H181,J181:$FB181)-SUM(I$176:I180,I182:I$330)-I$331</f>
        <v>8.8817841970012523E-16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4.3090011995329517E-7</v>
      </c>
      <c r="H182" s="190">
        <f t="shared" si="44"/>
        <v>0</v>
      </c>
      <c r="I182" s="184">
        <f t="shared" ref="I182:I213" si="50">I15*I$168</f>
        <v>0</v>
      </c>
      <c r="J182" s="189">
        <f>$C182+SUM($D182:I182,K182:$FB182)-SUM(J$176:J181,J183:J$330)-J$331</f>
        <v>2.6469779601696886E-22</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2.9753489571946081E-6</v>
      </c>
      <c r="F184" s="190">
        <f t="shared" si="32"/>
        <v>0</v>
      </c>
      <c r="G184" s="190">
        <f t="shared" si="38"/>
        <v>0</v>
      </c>
      <c r="H184" s="190">
        <f t="shared" si="44"/>
        <v>1.7802463823840246E-4</v>
      </c>
      <c r="I184" s="184">
        <f t="shared" si="50"/>
        <v>0</v>
      </c>
      <c r="J184" s="190">
        <f t="shared" si="56"/>
        <v>0</v>
      </c>
      <c r="K184" s="190">
        <f t="shared" ref="K184:K215" si="62">K17*K$168</f>
        <v>0</v>
      </c>
      <c r="L184" s="189">
        <f>$C184+SUM($D184:K184,M184:$FB184)-SUM(L$176:L183,L185:L$330)-L$331</f>
        <v>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1.1587095959755528E-8</v>
      </c>
      <c r="AK184" s="184">
        <f t="shared" si="63"/>
        <v>0</v>
      </c>
      <c r="AL184" s="184">
        <f t="shared" si="63"/>
        <v>0</v>
      </c>
      <c r="AM184" s="184">
        <f t="shared" si="63"/>
        <v>0</v>
      </c>
      <c r="AN184" s="184">
        <f t="shared" si="63"/>
        <v>6.8325749538439981E-7</v>
      </c>
      <c r="AO184" s="184">
        <f t="shared" si="63"/>
        <v>0</v>
      </c>
      <c r="AP184" s="184">
        <f t="shared" si="63"/>
        <v>0</v>
      </c>
      <c r="AQ184" s="184">
        <f t="shared" si="63"/>
        <v>0</v>
      </c>
      <c r="AR184" s="184">
        <f t="shared" si="63"/>
        <v>4.2915170221316767E-9</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4.1772643542093793E-5</v>
      </c>
      <c r="G185" s="190">
        <f t="shared" si="38"/>
        <v>0</v>
      </c>
      <c r="H185" s="190">
        <f t="shared" si="44"/>
        <v>0</v>
      </c>
      <c r="I185" s="184">
        <f t="shared" si="50"/>
        <v>4.9791753640435763E-3</v>
      </c>
      <c r="J185" s="190">
        <f t="shared" si="56"/>
        <v>0</v>
      </c>
      <c r="K185" s="190">
        <f t="shared" si="62"/>
        <v>0</v>
      </c>
      <c r="L185" s="190">
        <f t="shared" ref="L185:L216" si="68">L18*L$168</f>
        <v>1.8135983365847653E-4</v>
      </c>
      <c r="M185" s="189">
        <f>$C185+SUM($D185:L185,N185:$FB185)-SUM(M$176:M184,M186:M$330)-M$331</f>
        <v>1.1102230246251565E-16</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5.9474660126594393E-2</v>
      </c>
      <c r="AL185" s="184">
        <f t="shared" si="69"/>
        <v>0</v>
      </c>
      <c r="AM185" s="184">
        <f t="shared" si="69"/>
        <v>0</v>
      </c>
      <c r="AN185" s="184">
        <f t="shared" si="69"/>
        <v>0</v>
      </c>
      <c r="AO185" s="184">
        <f t="shared" si="69"/>
        <v>0.33918249671952544</v>
      </c>
      <c r="AP185" s="184">
        <f t="shared" si="69"/>
        <v>0</v>
      </c>
      <c r="AQ185" s="184">
        <f t="shared" si="69"/>
        <v>0</v>
      </c>
      <c r="AR185" s="184">
        <f t="shared" si="69"/>
        <v>0</v>
      </c>
      <c r="AS185" s="184">
        <f t="shared" si="69"/>
        <v>2.2027651898738655E-2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1.4496083089576418E-11</v>
      </c>
      <c r="H186" s="190">
        <f t="shared" si="44"/>
        <v>0</v>
      </c>
      <c r="I186" s="184">
        <f t="shared" si="50"/>
        <v>0</v>
      </c>
      <c r="J186" s="190">
        <f t="shared" si="56"/>
        <v>1.0725578300488373E-9</v>
      </c>
      <c r="K186" s="190">
        <f t="shared" si="62"/>
        <v>0</v>
      </c>
      <c r="L186" s="190">
        <f t="shared" si="68"/>
        <v>3.3795290417695278E-7</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4.5935016599824122E-4</v>
      </c>
      <c r="AM186" s="184">
        <f t="shared" si="75"/>
        <v>0</v>
      </c>
      <c r="AN186" s="184">
        <f t="shared" si="75"/>
        <v>0</v>
      </c>
      <c r="AO186" s="184">
        <f t="shared" si="75"/>
        <v>0</v>
      </c>
      <c r="AP186" s="184">
        <f t="shared" si="75"/>
        <v>5.9526154290301142E-2</v>
      </c>
      <c r="AQ186" s="184">
        <f t="shared" si="75"/>
        <v>0</v>
      </c>
      <c r="AR186" s="184">
        <f t="shared" si="75"/>
        <v>0</v>
      </c>
      <c r="AS186" s="184">
        <f t="shared" si="75"/>
        <v>0</v>
      </c>
      <c r="AT186" s="184">
        <f t="shared" si="75"/>
        <v>1.701296911104597E-4</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3.203009291289352</v>
      </c>
      <c r="D188" s="190">
        <f t="shared" si="20"/>
        <v>0</v>
      </c>
      <c r="E188" s="190">
        <f t="shared" si="26"/>
        <v>3.2728838529140698E-5</v>
      </c>
      <c r="F188" s="190">
        <f t="shared" si="32"/>
        <v>0</v>
      </c>
      <c r="G188" s="190">
        <f t="shared" si="38"/>
        <v>0</v>
      </c>
      <c r="H188" s="190">
        <f t="shared" si="44"/>
        <v>1.9582710206224271E-3</v>
      </c>
      <c r="I188" s="184">
        <f t="shared" si="50"/>
        <v>0</v>
      </c>
      <c r="J188" s="190">
        <f t="shared" si="56"/>
        <v>0</v>
      </c>
      <c r="K188" s="190">
        <f t="shared" si="62"/>
        <v>0</v>
      </c>
      <c r="L188" s="190">
        <f t="shared" si="68"/>
        <v>1.3367413098735281E-9</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1.6485103819295696E-23</v>
      </c>
      <c r="AC188" s="184">
        <f t="shared" si="87"/>
        <v>0</v>
      </c>
      <c r="AD188" s="184">
        <f t="shared" si="87"/>
        <v>0</v>
      </c>
      <c r="AE188" s="184">
        <f t="shared" si="87"/>
        <v>0</v>
      </c>
      <c r="AF188" s="184">
        <f t="shared" si="87"/>
        <v>0</v>
      </c>
      <c r="AG188" s="184">
        <f t="shared" si="87"/>
        <v>0</v>
      </c>
      <c r="AH188" s="184">
        <f t="shared" si="87"/>
        <v>0</v>
      </c>
      <c r="AI188" s="184">
        <f t="shared" si="87"/>
        <v>0</v>
      </c>
      <c r="AJ188" s="184">
        <f t="shared" si="87"/>
        <v>1.274580555573108E-7</v>
      </c>
      <c r="AK188" s="184">
        <f t="shared" si="87"/>
        <v>0</v>
      </c>
      <c r="AL188" s="184">
        <f t="shared" si="87"/>
        <v>0</v>
      </c>
      <c r="AM188" s="184">
        <f t="shared" si="87"/>
        <v>0</v>
      </c>
      <c r="AN188" s="184">
        <f t="shared" si="87"/>
        <v>7.5158324492283986E-6</v>
      </c>
      <c r="AO188" s="184">
        <f t="shared" si="87"/>
        <v>0</v>
      </c>
      <c r="AP188" s="184">
        <f t="shared" si="87"/>
        <v>0</v>
      </c>
      <c r="AQ188" s="184">
        <f t="shared" si="87"/>
        <v>0</v>
      </c>
      <c r="AR188" s="184">
        <f t="shared" si="87"/>
        <v>4.7206687243448449E-8</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4.5949907896303168E-4</v>
      </c>
      <c r="G189" s="190">
        <f t="shared" si="38"/>
        <v>0</v>
      </c>
      <c r="H189" s="190">
        <f t="shared" si="44"/>
        <v>0</v>
      </c>
      <c r="I189" s="184">
        <f t="shared" si="50"/>
        <v>5.4770929004479343E-2</v>
      </c>
      <c r="J189" s="190">
        <f t="shared" si="56"/>
        <v>0</v>
      </c>
      <c r="K189" s="190">
        <f t="shared" si="62"/>
        <v>0</v>
      </c>
      <c r="L189" s="190">
        <f t="shared" si="68"/>
        <v>0</v>
      </c>
      <c r="M189" s="190">
        <f t="shared" si="74"/>
        <v>0.4258871165860848</v>
      </c>
      <c r="N189" s="190">
        <f t="shared" si="80"/>
        <v>0</v>
      </c>
      <c r="O189" s="190">
        <f t="shared" si="86"/>
        <v>0</v>
      </c>
      <c r="P189" s="190">
        <f t="shared" ref="P189:P220" si="92">P22*P$168</f>
        <v>3.1660074940837961</v>
      </c>
      <c r="Q189" s="189">
        <f>$C189+SUM($D189:P189,R189:$FB189)-SUM(Q$176:Q188,Q190:Q$330)-Q$331</f>
        <v>1.7763568394002505E-15</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3.4230960120135292E-13</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0.65422126139253833</v>
      </c>
      <c r="AL189" s="184">
        <f t="shared" si="93"/>
        <v>0</v>
      </c>
      <c r="AM189" s="184">
        <f t="shared" si="93"/>
        <v>0</v>
      </c>
      <c r="AN189" s="184">
        <f t="shared" si="93"/>
        <v>0</v>
      </c>
      <c r="AO189" s="184">
        <f t="shared" si="93"/>
        <v>3.7310074639147799</v>
      </c>
      <c r="AP189" s="184">
        <f t="shared" si="93"/>
        <v>0</v>
      </c>
      <c r="AQ189" s="184">
        <f t="shared" si="93"/>
        <v>0</v>
      </c>
      <c r="AR189" s="184">
        <f t="shared" si="93"/>
        <v>0</v>
      </c>
      <c r="AS189" s="184">
        <f t="shared" si="93"/>
        <v>0.24230417088612521</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1.594569139853406E-10</v>
      </c>
      <c r="H190" s="190">
        <f t="shared" si="44"/>
        <v>0</v>
      </c>
      <c r="I190" s="184">
        <f t="shared" si="50"/>
        <v>0</v>
      </c>
      <c r="J190" s="190">
        <f t="shared" si="56"/>
        <v>1.179813613053721E-8</v>
      </c>
      <c r="K190" s="190">
        <f t="shared" si="62"/>
        <v>0</v>
      </c>
      <c r="L190" s="190">
        <f t="shared" si="68"/>
        <v>0</v>
      </c>
      <c r="M190" s="190">
        <f t="shared" si="74"/>
        <v>0</v>
      </c>
      <c r="N190" s="190">
        <f t="shared" si="80"/>
        <v>8.8918974097356557E-4</v>
      </c>
      <c r="O190" s="190">
        <f t="shared" si="86"/>
        <v>0</v>
      </c>
      <c r="P190" s="190">
        <f t="shared" si="92"/>
        <v>3.8982527327820427E-2</v>
      </c>
      <c r="Q190" s="190">
        <f t="shared" ref="Q190:Q221" si="98">Q23*Q$168</f>
        <v>0</v>
      </c>
      <c r="R190" s="189">
        <f>$C190+SUM($D190:Q190,S190:$FB190)-SUM(R$176:R189,R191:R$330)-R$331</f>
        <v>-8.8817841970012523E-16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5.6431074633815408</v>
      </c>
      <c r="AE190" s="184">
        <f t="shared" si="99"/>
        <v>0</v>
      </c>
      <c r="AF190" s="184">
        <f t="shared" si="99"/>
        <v>0</v>
      </c>
      <c r="AG190" s="184">
        <f t="shared" si="99"/>
        <v>0</v>
      </c>
      <c r="AH190" s="184">
        <f t="shared" si="99"/>
        <v>0</v>
      </c>
      <c r="AI190" s="184">
        <f t="shared" si="99"/>
        <v>0</v>
      </c>
      <c r="AJ190" s="184">
        <f t="shared" si="99"/>
        <v>0</v>
      </c>
      <c r="AK190" s="184">
        <f t="shared" si="99"/>
        <v>0</v>
      </c>
      <c r="AL190" s="184">
        <f t="shared" si="99"/>
        <v>5.0528518259806534E-3</v>
      </c>
      <c r="AM190" s="184">
        <f t="shared" si="99"/>
        <v>0</v>
      </c>
      <c r="AN190" s="184">
        <f t="shared" si="99"/>
        <v>0</v>
      </c>
      <c r="AO190" s="184">
        <f t="shared" si="99"/>
        <v>0</v>
      </c>
      <c r="AP190" s="184">
        <f t="shared" si="99"/>
        <v>0.65478769719331265</v>
      </c>
      <c r="AQ190" s="184">
        <f t="shared" si="99"/>
        <v>0</v>
      </c>
      <c r="AR190" s="184">
        <f t="shared" si="99"/>
        <v>0</v>
      </c>
      <c r="AS190" s="184">
        <f t="shared" si="99"/>
        <v>0</v>
      </c>
      <c r="AT190" s="184">
        <f t="shared" si="99"/>
        <v>1.8714266022150565E-3</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5.1852809743740802E-6</v>
      </c>
      <c r="F192" s="190">
        <f t="shared" si="32"/>
        <v>0</v>
      </c>
      <c r="G192" s="190">
        <f t="shared" si="38"/>
        <v>0</v>
      </c>
      <c r="H192" s="190">
        <f t="shared" si="44"/>
        <v>3.1154506407385515E-4</v>
      </c>
      <c r="I192" s="184">
        <f t="shared" si="50"/>
        <v>0</v>
      </c>
      <c r="J192" s="190">
        <f t="shared" si="56"/>
        <v>0</v>
      </c>
      <c r="K192" s="190">
        <f t="shared" si="62"/>
        <v>0</v>
      </c>
      <c r="L192" s="190">
        <f t="shared" si="68"/>
        <v>0</v>
      </c>
      <c r="M192" s="190">
        <f t="shared" si="74"/>
        <v>0</v>
      </c>
      <c r="N192" s="190">
        <f t="shared" si="80"/>
        <v>0</v>
      </c>
      <c r="O192" s="190">
        <f t="shared" si="86"/>
        <v>0</v>
      </c>
      <c r="P192" s="190">
        <f t="shared" si="92"/>
        <v>1.7961570820226369E-5</v>
      </c>
      <c r="Q192" s="190">
        <f t="shared" si="98"/>
        <v>0</v>
      </c>
      <c r="R192" s="190">
        <f t="shared" si="104"/>
        <v>0</v>
      </c>
      <c r="S192" s="190">
        <f t="shared" ref="S192:S223" si="110">S25*S$168</f>
        <v>0</v>
      </c>
      <c r="T192" s="189">
        <f>$C192+SUM($D192:S192,U192:$FB192)-SUM(T$176:T191,T193:T$330)-T$331</f>
        <v>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1.5266104977607479E-29</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2.4547839280970048E-13</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7.2497744400999291E-5</v>
      </c>
      <c r="G193" s="190">
        <f t="shared" si="38"/>
        <v>0</v>
      </c>
      <c r="H193" s="190">
        <f t="shared" si="44"/>
        <v>0</v>
      </c>
      <c r="I193" s="184">
        <f t="shared" si="50"/>
        <v>8.713611347147189E-3</v>
      </c>
      <c r="J193" s="190">
        <f t="shared" si="56"/>
        <v>0</v>
      </c>
      <c r="K193" s="190">
        <f t="shared" si="62"/>
        <v>0</v>
      </c>
      <c r="L193" s="190">
        <f t="shared" si="68"/>
        <v>0</v>
      </c>
      <c r="M193" s="190">
        <f t="shared" si="74"/>
        <v>0</v>
      </c>
      <c r="N193" s="190">
        <f t="shared" si="80"/>
        <v>0</v>
      </c>
      <c r="O193" s="190">
        <f t="shared" si="86"/>
        <v>0</v>
      </c>
      <c r="P193" s="190">
        <f t="shared" si="92"/>
        <v>0</v>
      </c>
      <c r="Q193" s="190">
        <f t="shared" si="98"/>
        <v>8.2746579349467275</v>
      </c>
      <c r="R193" s="190">
        <f t="shared" si="104"/>
        <v>0</v>
      </c>
      <c r="S193" s="190">
        <f t="shared" si="110"/>
        <v>0</v>
      </c>
      <c r="T193" s="190">
        <f t="shared" ref="T193:T224" si="116">T26*T$168</f>
        <v>3.323187432755782E-4</v>
      </c>
      <c r="U193" s="189">
        <f>$C193+SUM($D193:T193,V193:$FB193)-SUM(U$176:U192,U194:U$330)-U$331</f>
        <v>0</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-1.0342897890062052E-2</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-15625536253508.432</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2.5368303958658504E-11</v>
      </c>
      <c r="H194" s="190">
        <f t="shared" si="44"/>
        <v>0</v>
      </c>
      <c r="I194" s="184">
        <f t="shared" si="50"/>
        <v>0</v>
      </c>
      <c r="J194" s="190">
        <f t="shared" si="56"/>
        <v>1.8769879337600535E-9</v>
      </c>
      <c r="K194" s="190">
        <f t="shared" si="62"/>
        <v>0</v>
      </c>
      <c r="L194" s="190">
        <f t="shared" si="68"/>
        <v>0</v>
      </c>
      <c r="M194" s="190">
        <f t="shared" si="74"/>
        <v>0</v>
      </c>
      <c r="N194" s="190">
        <f t="shared" si="80"/>
        <v>0</v>
      </c>
      <c r="O194" s="190">
        <f t="shared" si="86"/>
        <v>0</v>
      </c>
      <c r="P194" s="190">
        <f t="shared" si="92"/>
        <v>0</v>
      </c>
      <c r="Q194" s="190">
        <f t="shared" si="98"/>
        <v>0</v>
      </c>
      <c r="R194" s="190">
        <f t="shared" si="104"/>
        <v>8.5372396014176566E-2</v>
      </c>
      <c r="S194" s="190">
        <f t="shared" si="110"/>
        <v>0</v>
      </c>
      <c r="T194" s="190">
        <f t="shared" si="116"/>
        <v>2.3419872275363685E-6</v>
      </c>
      <c r="U194" s="190">
        <f t="shared" ref="U194:U225" si="122">U27*U$168</f>
        <v>0</v>
      </c>
      <c r="V194" s="189">
        <f>$C194+SUM($D194:U194,W194:$FB194)-SUM(V$176:V193,V195:V$330)-V$331</f>
        <v>0</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8.1578848801593093E-2</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1.4865604578726815E-4</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5.5761208926152894E-23</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-5.6096331708342493E-39</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1.7765576863305252E-14</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1.6757650436317899E-23</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5.9266783446394369E-2</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3.9003436696902892E-23</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8.2417950677953014E-19</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-2.6504238469974748E-34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3.7968858981498421E-13</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2.476817860615547E-19</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6.259318772015261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5.7647943548763682E-19</v>
      </c>
      <c r="AC202" s="190">
        <f t="shared" ref="AC202:AC233" si="165">AC35*AC$168</f>
        <v>0</v>
      </c>
      <c r="AD202" s="189">
        <f>$C202+SUM($D202:AC202,AE202:$FB202)-SUM(AD$176:AD201,AD203:AD$330)-AD$331</f>
        <v>1.7763568394002505E-15</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2.2765638183404582E-23</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-5.8041248147294399E-39</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-1.1406712757009852E-2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6.841658656851454E-24</v>
      </c>
      <c r="AG205" s="189">
        <f>$C205+SUM($D205:AF205,AH205:$FB205)-SUM(AG$176:AG204,AG206:AG$330)-AG$331</f>
        <v>-3.6862873864507151E-18</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8.9969610569337916E-2</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1.5923962690258678E-23</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5.9210460173082687E-3</v>
      </c>
      <c r="F208" s="190">
        <f t="shared" si="32"/>
        <v>0</v>
      </c>
      <c r="G208" s="190">
        <f t="shared" si="38"/>
        <v>0</v>
      </c>
      <c r="H208" s="190">
        <f t="shared" si="44"/>
        <v>1.922666092974747E-2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-1.8769929578667931E-18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0.1611176964762169</v>
      </c>
      <c r="G209" s="190">
        <f t="shared" si="38"/>
        <v>0</v>
      </c>
      <c r="H209" s="190">
        <f t="shared" si="44"/>
        <v>0</v>
      </c>
      <c r="I209" s="184">
        <f t="shared" si="50"/>
        <v>0.53775093931670637</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1.9635482374995458E-2</v>
      </c>
      <c r="AK209" s="189">
        <f>$C209+SUM($D209:AJ209,AL209:$FB209)-SUM(AK$176:AK208,AK210:AK$330)-AK$331</f>
        <v>-2.6628005356243989E-16</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1.5655769736742534E-9</v>
      </c>
      <c r="H210" s="190">
        <f t="shared" si="44"/>
        <v>0</v>
      </c>
      <c r="I210" s="184">
        <f t="shared" si="50"/>
        <v>0</v>
      </c>
      <c r="J210" s="190">
        <f t="shared" si="56"/>
        <v>1.1583624564527443E-7</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5.512084590156275E-3</v>
      </c>
      <c r="AK210" s="190">
        <f t="shared" ref="AK210:AK241" si="207">AK43*AK$168</f>
        <v>0</v>
      </c>
      <c r="AL210" s="189">
        <f>$C210+SUM($D210:AK210,AM210:$FB210)-SUM(AL$176:AL209,AL211:AL$330)-AL$331</f>
        <v>-8.6736173798840355E-19</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3.203009291289352</v>
      </c>
      <c r="D212" s="190">
        <f t="shared" si="200"/>
        <v>0</v>
      </c>
      <c r="E212" s="190">
        <f t="shared" si="206"/>
        <v>1.3157880038462817E-2</v>
      </c>
      <c r="F212" s="190">
        <f t="shared" si="212"/>
        <v>0</v>
      </c>
      <c r="G212" s="190">
        <f t="shared" ref="G212:G243" si="218">G45*G$168</f>
        <v>0</v>
      </c>
      <c r="H212" s="190">
        <f t="shared" si="44"/>
        <v>4.27259131772166E-2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-4.1973028267503775E-16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0.35803932550270412</v>
      </c>
      <c r="G213" s="190">
        <f t="shared" si="218"/>
        <v>0</v>
      </c>
      <c r="H213" s="190">
        <f t="shared" ref="H213:H244" si="224">H46*H$168</f>
        <v>0</v>
      </c>
      <c r="I213" s="184">
        <f t="shared" si="50"/>
        <v>1.1950020873704585</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2.544571239583473</v>
      </c>
      <c r="AO213" s="189">
        <f>$C213+SUM($D213:AN213,AP213:$FB213)-SUM(AO$176:AO212,AO214:AO$330)-AO$331</f>
        <v>3.7123082385903672E-16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3.4790599414983408E-9</v>
      </c>
      <c r="H214" s="190">
        <f t="shared" si="224"/>
        <v>0</v>
      </c>
      <c r="I214" s="184">
        <f t="shared" ref="I214:I245" si="230">I47*I$168</f>
        <v>0</v>
      </c>
      <c r="J214" s="190">
        <f t="shared" si="56"/>
        <v>2.5741387921172093E-7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0.71431359059067467</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2.1929800064104696E-3</v>
      </c>
      <c r="F216" s="190">
        <f t="shared" si="212"/>
        <v>0</v>
      </c>
      <c r="G216" s="190">
        <f t="shared" si="218"/>
        <v>0</v>
      </c>
      <c r="H216" s="190">
        <f t="shared" si="224"/>
        <v>7.1209855295360997E-3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-1.1694136662997717E-19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5.967322091711736E-2</v>
      </c>
      <c r="G217" s="190">
        <f t="shared" si="218"/>
        <v>0</v>
      </c>
      <c r="H217" s="190">
        <f t="shared" si="224"/>
        <v>0</v>
      </c>
      <c r="I217" s="184">
        <f t="shared" si="230"/>
        <v>0.1991670145617431</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7.272400879627946E-3</v>
      </c>
      <c r="AS217" s="189">
        <f>$C217+SUM($D217:AR217,AT217:$FB217)-SUM(AS$176:AS216,AS218:AS$330)-AS$331</f>
        <v>2.8189256484623115E-18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5.7984332358305673E-10</v>
      </c>
      <c r="H218" s="190">
        <f t="shared" si="224"/>
        <v>0</v>
      </c>
      <c r="I218" s="184">
        <f t="shared" si="230"/>
        <v>0</v>
      </c>
      <c r="J218" s="190">
        <f t="shared" si="236"/>
        <v>4.2902313201953493E-8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2.0415128111689906E-3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1.8436063717254227E-2</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-5.6486675106143664E-19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1.2395215135281329E-9</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0.51559349118872022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1.7938794369178619E-2</v>
      </c>
      <c r="AW221" s="189">
        <f>$C221+SUM($D221:AV221,AX221:$FB221)-SUM(AW$176:AW220,AW222:AW$330)-AW$331</f>
        <v>1.5001969935410364E-16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4.958948033146782E-5</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5.4861025333890411E-8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2.850957653297665E-9</v>
      </c>
      <c r="AW222" s="190">
        <f t="shared" ref="AW222:AW253" si="279">AW55*AW$168</f>
        <v>0</v>
      </c>
      <c r="AX222" s="189">
        <f>$C222+SUM($D222:AW222,AY222:$FB222)-SUM(AX$176:AX221,AX223:AX$330)-AX$331</f>
        <v>-1.0813932480710333E-23</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1.7560074341103522E-12</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4.1447625479104156E-4</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0.44474536032349626</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5.5694495368328629E-8</v>
      </c>
      <c r="AY225" s="190">
        <f t="shared" si="291"/>
        <v>0</v>
      </c>
      <c r="AZ225" s="190">
        <f t="shared" ref="AZ225:AZ256" si="297">AZ58*AZ$168</f>
        <v>0</v>
      </c>
      <c r="BA225" s="189">
        <f>$C225+SUM($D225:AZ225,BB225:$FB225)-SUM(BA$176:BA224,BA226:BA$330)-BA$331</f>
        <v>-6.6174449004242214E-24</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8.3954527502143734E-9</v>
      </c>
      <c r="AW227" s="190">
        <f t="shared" si="279"/>
        <v>0</v>
      </c>
      <c r="AX227" s="190">
        <f t="shared" si="285"/>
        <v>0</v>
      </c>
      <c r="AY227" s="190">
        <f t="shared" si="291"/>
        <v>5.0171820259082693E-7</v>
      </c>
      <c r="AZ227" s="190">
        <f t="shared" si="297"/>
        <v>0</v>
      </c>
      <c r="BA227" s="190">
        <f t="shared" si="303"/>
        <v>0</v>
      </c>
      <c r="BB227" s="190">
        <f t="shared" ref="BB227:BB258" si="309">BB60*BB$168</f>
        <v>0</v>
      </c>
      <c r="BC227" s="189">
        <f>$C227+SUM($D227:BB227,BD227:$FB227)-SUM(BC$176:BC226,BC228:BC$330)-BC$331</f>
        <v>-1.0587911840678754E-22</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3.2664676699673841E-11</v>
      </c>
      <c r="CB227" s="184">
        <f t="shared" si="310"/>
        <v>0</v>
      </c>
      <c r="CC227" s="184">
        <f t="shared" si="310"/>
        <v>0</v>
      </c>
      <c r="CD227" s="184">
        <f t="shared" si="310"/>
        <v>0</v>
      </c>
      <c r="CE227" s="184">
        <f t="shared" si="310"/>
        <v>3.3029646783732774E-11</v>
      </c>
      <c r="CF227" s="184">
        <f t="shared" si="310"/>
        <v>0</v>
      </c>
      <c r="CG227" s="184">
        <f t="shared" si="310"/>
        <v>0</v>
      </c>
      <c r="CH227" s="184">
        <f t="shared" si="310"/>
        <v>0</v>
      </c>
      <c r="CI227" s="184">
        <f t="shared" si="310"/>
        <v>1.2098028407286606E-11</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9.0087318071789346E-6</v>
      </c>
      <c r="AX228" s="190">
        <f t="shared" si="285"/>
        <v>0</v>
      </c>
      <c r="AY228" s="190">
        <f t="shared" si="291"/>
        <v>0</v>
      </c>
      <c r="AZ228" s="190">
        <f t="shared" si="297"/>
        <v>5.3835856750010633E-4</v>
      </c>
      <c r="BA228" s="190">
        <f t="shared" si="303"/>
        <v>0</v>
      </c>
      <c r="BB228" s="190">
        <f t="shared" si="309"/>
        <v>0</v>
      </c>
      <c r="BC228" s="190">
        <f t="shared" ref="BC228:BC259" si="315">BC61*BC$168</f>
        <v>5.0923875913687028E-7</v>
      </c>
      <c r="BD228" s="189">
        <f>$C228+SUM($D228:BC228,BE228:$FB228)-SUM(BD$176:BD227,BD229:BD$330)-BD$331</f>
        <v>0</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6.3013135750808946E-3</v>
      </c>
      <c r="CC228" s="184">
        <f t="shared" si="316"/>
        <v>0</v>
      </c>
      <c r="CD228" s="184">
        <f t="shared" si="316"/>
        <v>0</v>
      </c>
      <c r="CE228" s="184">
        <f t="shared" si="316"/>
        <v>0</v>
      </c>
      <c r="CF228" s="184">
        <f t="shared" si="316"/>
        <v>1.4002913390637757E-2</v>
      </c>
      <c r="CG228" s="184">
        <f t="shared" si="316"/>
        <v>0</v>
      </c>
      <c r="CH228" s="184">
        <f t="shared" si="316"/>
        <v>0</v>
      </c>
      <c r="CI228" s="184">
        <f t="shared" si="316"/>
        <v>0</v>
      </c>
      <c r="CJ228" s="184">
        <f t="shared" si="316"/>
        <v>2.3338198426225529E-3</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9.1117632699458596E-13</v>
      </c>
      <c r="AY229" s="190">
        <f t="shared" si="291"/>
        <v>0</v>
      </c>
      <c r="AZ229" s="190">
        <f t="shared" si="297"/>
        <v>0</v>
      </c>
      <c r="BA229" s="190">
        <f t="shared" si="303"/>
        <v>6.7417473950319365E-11</v>
      </c>
      <c r="BB229" s="190">
        <f t="shared" si="309"/>
        <v>0</v>
      </c>
      <c r="BC229" s="190">
        <f t="shared" si="315"/>
        <v>9.4893513132492543E-10</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1.2955213901462508E-6</v>
      </c>
      <c r="CD229" s="184">
        <f t="shared" si="322"/>
        <v>0</v>
      </c>
      <c r="CE229" s="184">
        <f t="shared" si="322"/>
        <v>0</v>
      </c>
      <c r="CF229" s="184">
        <f t="shared" si="322"/>
        <v>0</v>
      </c>
      <c r="CG229" s="184">
        <f t="shared" si="322"/>
        <v>2.8789451517759843E-6</v>
      </c>
      <c r="CH229" s="184">
        <f t="shared" si="322"/>
        <v>0</v>
      </c>
      <c r="CI229" s="184">
        <f t="shared" si="322"/>
        <v>0</v>
      </c>
      <c r="CJ229" s="184">
        <f t="shared" si="322"/>
        <v>0</v>
      </c>
      <c r="CK229" s="184">
        <f t="shared" si="322"/>
        <v>4.798227370912039E-7</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9.2349980252358111E-8</v>
      </c>
      <c r="AW231" s="190">
        <f t="shared" si="279"/>
        <v>0</v>
      </c>
      <c r="AX231" s="190">
        <f t="shared" si="285"/>
        <v>0</v>
      </c>
      <c r="AY231" s="190">
        <f t="shared" si="291"/>
        <v>5.5189002284990949E-6</v>
      </c>
      <c r="AZ231" s="190">
        <f t="shared" si="297"/>
        <v>0</v>
      </c>
      <c r="BA231" s="190">
        <f t="shared" si="303"/>
        <v>0</v>
      </c>
      <c r="BB231" s="190">
        <f t="shared" si="309"/>
        <v>0</v>
      </c>
      <c r="BC231" s="190">
        <f t="shared" si="315"/>
        <v>3.7534247368624787E-12</v>
      </c>
      <c r="BD231" s="190">
        <f t="shared" si="321"/>
        <v>0</v>
      </c>
      <c r="BE231" s="190">
        <f t="shared" si="326"/>
        <v>0</v>
      </c>
      <c r="BF231" s="190">
        <f t="shared" ref="BF231:BF262" si="331">BF64*BF$168</f>
        <v>0</v>
      </c>
      <c r="BG231" s="189">
        <f>$C231+SUM($D231:BF231,BH231:$FB231)-SUM(BG$176:BG230,BG232:BG$330)-BG$331</f>
        <v>-8.4703294725430034E-22</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2.8889154816352653E-29</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3.5931144369641216E-10</v>
      </c>
      <c r="CB231" s="184">
        <f t="shared" si="332"/>
        <v>0</v>
      </c>
      <c r="CC231" s="184">
        <f t="shared" si="332"/>
        <v>0</v>
      </c>
      <c r="CD231" s="184">
        <f t="shared" si="332"/>
        <v>0</v>
      </c>
      <c r="CE231" s="184">
        <f t="shared" si="332"/>
        <v>3.6332611462106043E-10</v>
      </c>
      <c r="CF231" s="184">
        <f t="shared" si="332"/>
        <v>0</v>
      </c>
      <c r="CG231" s="184">
        <f t="shared" si="332"/>
        <v>0</v>
      </c>
      <c r="CH231" s="184">
        <f t="shared" si="332"/>
        <v>0</v>
      </c>
      <c r="CI231" s="184">
        <f t="shared" si="332"/>
        <v>1.3307831248015263E-10</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9.9096049878968267E-5</v>
      </c>
      <c r="AX232" s="190">
        <f t="shared" si="285"/>
        <v>0</v>
      </c>
      <c r="AY232" s="190">
        <f t="shared" si="291"/>
        <v>0</v>
      </c>
      <c r="AZ232" s="190">
        <f t="shared" si="297"/>
        <v>5.9219442425011678E-3</v>
      </c>
      <c r="BA232" s="190">
        <f t="shared" si="303"/>
        <v>0</v>
      </c>
      <c r="BB232" s="190">
        <f t="shared" si="309"/>
        <v>0</v>
      </c>
      <c r="BC232" s="190">
        <f t="shared" si="315"/>
        <v>0</v>
      </c>
      <c r="BD232" s="190">
        <f t="shared" si="321"/>
        <v>2.3185923346406657E-2</v>
      </c>
      <c r="BE232" s="190">
        <f t="shared" si="326"/>
        <v>0</v>
      </c>
      <c r="BF232" s="190">
        <f t="shared" si="331"/>
        <v>0</v>
      </c>
      <c r="BG232" s="190">
        <f t="shared" ref="BG232:BG263" si="336">BG65*BG$168</f>
        <v>5.5438181098640741E-6</v>
      </c>
      <c r="BH232" s="189">
        <f>$C232+SUM($D232:BG232,BI232:$FB232)-SUM(BH$176:BH231,BH233:BH$330)-BH$331</f>
        <v>0</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1.1519149496034454E-14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6.9314449325889815E-2</v>
      </c>
      <c r="CC232" s="184">
        <f t="shared" si="337"/>
        <v>0</v>
      </c>
      <c r="CD232" s="184">
        <f t="shared" si="337"/>
        <v>0</v>
      </c>
      <c r="CE232" s="184">
        <f t="shared" si="337"/>
        <v>0</v>
      </c>
      <c r="CF232" s="184">
        <f t="shared" si="337"/>
        <v>0.15403204729701531</v>
      </c>
      <c r="CG232" s="184">
        <f t="shared" si="337"/>
        <v>0</v>
      </c>
      <c r="CH232" s="184">
        <f t="shared" si="337"/>
        <v>0</v>
      </c>
      <c r="CI232" s="184">
        <f t="shared" si="337"/>
        <v>0</v>
      </c>
      <c r="CJ232" s="184">
        <f t="shared" si="337"/>
        <v>2.5672018268848074E-2</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1.0022939596940443E-11</v>
      </c>
      <c r="AY233" s="190">
        <f t="shared" si="291"/>
        <v>0</v>
      </c>
      <c r="AZ233" s="190">
        <f t="shared" si="297"/>
        <v>0</v>
      </c>
      <c r="BA233" s="190">
        <f t="shared" si="303"/>
        <v>7.4159221345351281E-10</v>
      </c>
      <c r="BB233" s="190">
        <f t="shared" si="309"/>
        <v>0</v>
      </c>
      <c r="BC233" s="190">
        <f t="shared" si="315"/>
        <v>0</v>
      </c>
      <c r="BD233" s="190">
        <f t="shared" si="321"/>
        <v>0</v>
      </c>
      <c r="BE233" s="190">
        <f t="shared" si="326"/>
        <v>6.8811966619629155E-8</v>
      </c>
      <c r="BF233" s="190">
        <f t="shared" si="331"/>
        <v>0</v>
      </c>
      <c r="BG233" s="190">
        <f t="shared" si="336"/>
        <v>6.8260116683893781E-8</v>
      </c>
      <c r="BH233" s="190">
        <f t="shared" ref="BH233:BH264" si="341">BH66*BH$168</f>
        <v>0</v>
      </c>
      <c r="BI233" s="189">
        <f>$C233+SUM($D233:BH233,BJ233:$FB233)-SUM(BI$176:BI232,BI234:BI$330)-BI$331</f>
        <v>-1.6263032587282567E-19</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4.1590349995504868E-4</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1.4250735291608757E-5</v>
      </c>
      <c r="CD233" s="184">
        <f t="shared" si="342"/>
        <v>0</v>
      </c>
      <c r="CE233" s="184">
        <f t="shared" si="342"/>
        <v>0</v>
      </c>
      <c r="CF233" s="184">
        <f t="shared" si="342"/>
        <v>0</v>
      </c>
      <c r="CG233" s="184">
        <f t="shared" si="342"/>
        <v>3.1668396669535823E-5</v>
      </c>
      <c r="CH233" s="184">
        <f t="shared" si="342"/>
        <v>0</v>
      </c>
      <c r="CI233" s="184">
        <f t="shared" si="342"/>
        <v>0</v>
      </c>
      <c r="CJ233" s="184">
        <f t="shared" si="342"/>
        <v>0</v>
      </c>
      <c r="CK233" s="184">
        <f t="shared" si="342"/>
        <v>5.2780501080032418E-6</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3.1185610819405353E-8</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3.5625682216986046E-6</v>
      </c>
      <c r="AW235" s="190">
        <f t="shared" si="279"/>
        <v>0</v>
      </c>
      <c r="AX235" s="190">
        <f t="shared" si="285"/>
        <v>0</v>
      </c>
      <c r="AY235" s="190">
        <f t="shared" si="291"/>
        <v>2.1378897375471078E-4</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3.1451499019143374E-11</v>
      </c>
      <c r="BH235" s="190">
        <f t="shared" si="341"/>
        <v>0</v>
      </c>
      <c r="BI235" s="190">
        <f t="shared" si="346"/>
        <v>0</v>
      </c>
      <c r="BJ235" s="190">
        <f t="shared" ref="BJ235:BJ266" si="351">BJ68*BJ$168</f>
        <v>0</v>
      </c>
      <c r="BK235" s="189">
        <f>$C235+SUM($D235:BJ235,BL235:$FB235)-SUM(BK$176:BK234,BK236:BK$330)-BK$331</f>
        <v>-2.7105054312137611E-20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4.9586624917686866E-31</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7.422474975512137E-14</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-15625536253500.146</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3.8228084593618771E-3</v>
      </c>
      <c r="AX236" s="190">
        <f t="shared" si="285"/>
        <v>0</v>
      </c>
      <c r="AY236" s="190">
        <f t="shared" si="291"/>
        <v>0</v>
      </c>
      <c r="AZ236" s="190">
        <f t="shared" si="297"/>
        <v>0.22940193332345374</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0.2782310223486486</v>
      </c>
      <c r="BI236" s="190">
        <f t="shared" si="346"/>
        <v>0</v>
      </c>
      <c r="BJ236" s="190">
        <f t="shared" si="351"/>
        <v>0</v>
      </c>
      <c r="BK236" s="190">
        <f t="shared" ref="BK236:BK267" si="356">BK69*BK$168</f>
        <v>2.158610285406041E-4</v>
      </c>
      <c r="BL236" s="189">
        <f>$C236+SUM($D236:BK236,BM236:$FB236)-SUM(BL$176:BL235,BL237:BL$330)-BL$331</f>
        <v>0</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-42.679519914666386</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-2.9830573082942844E+16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7.7132634181802773E-2</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3.8826466899513063E-10</v>
      </c>
      <c r="AY237" s="190">
        <f t="shared" si="291"/>
        <v>0</v>
      </c>
      <c r="AZ237" s="190">
        <f t="shared" si="297"/>
        <v>0</v>
      </c>
      <c r="BA237" s="190">
        <f t="shared" si="303"/>
        <v>2.8727505788200886E-8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6.287031107932626E-6</v>
      </c>
      <c r="BJ237" s="190">
        <f t="shared" si="351"/>
        <v>0</v>
      </c>
      <c r="BK237" s="190">
        <f t="shared" si="356"/>
        <v>1.5212616862411874E-6</v>
      </c>
      <c r="BL237" s="190">
        <f t="shared" ref="BL237:BL268" si="361">BL70*BL$168</f>
        <v>0</v>
      </c>
      <c r="BM237" s="189">
        <f>$C237+SUM($D237:BL237,BN237:$FB237)-SUM(BM$176:BM236,BM238:BM$330)-BM$331</f>
        <v>2.2204460492503131E-16</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0.64878271987485192</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0.27345917202974623</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1.5657143188054909E-25</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1.4040091010417454E-41</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9.6718423102153474E-16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4.7053667166451109E-26</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4.5864945761754128E-6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1.0951742522963546E-25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1.4431744978498358E-24</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-4.2196845234212311E-40</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1.2766829196912272E-14</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4.3370168062374889E-25</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4.609514746147206E-4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1.0094407989850424E-24</v>
      </c>
      <c r="BT245" s="190">
        <f t="shared" ref="BT245:BT276" si="406">BT78*BT$168</f>
        <v>0</v>
      </c>
      <c r="BU245" s="189">
        <f>$C245+SUM($D245:BT245,BV245:$FB245)-SUM(BU$176:BU244,BU246:BU$330)-BU$331</f>
        <v>1.6940658945086007E-19</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7.3938262181886748E-25</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-6.7289804874665089E-42</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-47.0642235767004</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2.2220345744491964E-25</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0.7154357650212686</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5.1717861756461013E-25</v>
      </c>
      <c r="BX249" s="190">
        <f t="shared" ref="BX249:BX280" si="430">BX82*BX$168</f>
        <v>0</v>
      </c>
      <c r="BY249" s="189">
        <f>$C249+SUM($D249:BX249,BZ249:$FB249)-SUM(BY$176:BY248,BY250:BY$330)-BY$331</f>
        <v>-1.1102230246251565E-16</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1.670723763340583E-5</v>
      </c>
      <c r="AW251" s="190">
        <f t="shared" si="279"/>
        <v>0</v>
      </c>
      <c r="AX251" s="190">
        <f t="shared" si="285"/>
        <v>0</v>
      </c>
      <c r="AY251" s="190">
        <f t="shared" si="291"/>
        <v>5.418556587980931E-5</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6.135713975601518E-21</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1.7927110358445023E-2</v>
      </c>
      <c r="AX252" s="190">
        <f t="shared" si="285"/>
        <v>0</v>
      </c>
      <c r="AY252" s="190">
        <f t="shared" si="291"/>
        <v>0</v>
      </c>
      <c r="AZ252" s="190">
        <f t="shared" si="297"/>
        <v>5.8142725290011486E-2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5.53535317088116E-5</v>
      </c>
      <c r="CB252" s="189">
        <f>$C252+SUM($D252:CA252,CC252:$FB252)-SUM(CB$176:CB251,CB253:CB$330)-CB$331</f>
        <v>8.0230960763927328E-18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9.8407043315415269E-11</v>
      </c>
      <c r="AY253" s="190">
        <f t="shared" si="291"/>
        <v>0</v>
      </c>
      <c r="AZ253" s="190">
        <f t="shared" si="297"/>
        <v>0</v>
      </c>
      <c r="BA253" s="190">
        <f t="shared" si="303"/>
        <v>7.2810871866344914E-9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1.5538877187525056E-5</v>
      </c>
      <c r="CB253" s="190">
        <f t="shared" ref="CB253:CB284" si="454">CB86*CB$168</f>
        <v>0</v>
      </c>
      <c r="CC253" s="189">
        <f>$C253+SUM($D253:CB253,CD253:$FB253)-SUM(CC$176:CC252,CC254:CC$330)-CC$331</f>
        <v>-3.3881317890172014E-21</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3.7127194740901836E-5</v>
      </c>
      <c r="AW255" s="190">
        <f t="shared" si="459"/>
        <v>0</v>
      </c>
      <c r="AX255" s="190">
        <f t="shared" ref="AX255:AX286" si="465">AX88*AX$168</f>
        <v>0</v>
      </c>
      <c r="AY255" s="190">
        <f t="shared" si="291"/>
        <v>1.2041236862179846E-4</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-6.5544382138927592E-21</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3.9838023018766711E-2</v>
      </c>
      <c r="AX256" s="190">
        <f t="shared" si="465"/>
        <v>0</v>
      </c>
      <c r="AY256" s="190">
        <f t="shared" ref="AY256:AY287" si="471">AY89*AY$168</f>
        <v>0</v>
      </c>
      <c r="AZ256" s="190">
        <f t="shared" si="297"/>
        <v>0.12920605620002551</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1.2300822139126743E-4</v>
      </c>
      <c r="CF256" s="189">
        <f>$C256+SUM($D256:CE256,CG256:$FB256)-SUM(CF$176:CF255,CF257:CF$330)-CF$331</f>
        <v>5.6378512969246231E-18</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2.1868231847870058E-10</v>
      </c>
      <c r="AY257" s="190">
        <f t="shared" si="471"/>
        <v>0</v>
      </c>
      <c r="AZ257" s="190">
        <f t="shared" ref="AZ257:AZ288" si="477">AZ90*AZ$168</f>
        <v>0</v>
      </c>
      <c r="BA257" s="190">
        <f t="shared" si="303"/>
        <v>1.6180193748076648E-8</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3.4530942945245252E-5</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6.1878657901503054E-6</v>
      </c>
      <c r="AW259" s="190">
        <f t="shared" si="459"/>
        <v>0</v>
      </c>
      <c r="AX259" s="190">
        <f t="shared" si="465"/>
        <v>0</v>
      </c>
      <c r="AY259" s="190">
        <f t="shared" si="471"/>
        <v>2.0068728103633071E-5</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-4.0018313430267492E-21</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6.6396705031277845E-3</v>
      </c>
      <c r="AX260" s="190">
        <f t="shared" si="465"/>
        <v>0</v>
      </c>
      <c r="AY260" s="190">
        <f t="shared" si="471"/>
        <v>0</v>
      </c>
      <c r="AZ260" s="190">
        <f t="shared" si="477"/>
        <v>2.1534342700004247E-2</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2.0501308040300589E-5</v>
      </c>
      <c r="CJ260" s="189">
        <f>$C260+SUM($D260:CI260,CK260:$FB260)-SUM(CJ$176:CJ259,CJ261:CJ$330)-CJ$331</f>
        <v>-3.2797115717686509E-18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3.644705307978343E-11</v>
      </c>
      <c r="AY261" s="190">
        <f t="shared" si="471"/>
        <v>0</v>
      </c>
      <c r="AZ261" s="190">
        <f t="shared" si="477"/>
        <v>0</v>
      </c>
      <c r="BA261" s="190">
        <f t="shared" si="483"/>
        <v>2.6966989580127738E-9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5.7551396990833526E-6</v>
      </c>
      <c r="CJ261" s="190">
        <f t="shared" ref="CJ261:CJ292" si="502">CJ94*CJ$168</f>
        <v>0</v>
      </c>
      <c r="CK261" s="189">
        <f>$C261+SUM($D261:CJ261,CL261:$FB261)-SUM(CK$176:CK260,CK262:CK$330)-CK$331</f>
        <v>-8.4703294725430034E-22</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1.5690675131159139E-5</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-2.5748726907969265E-21</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1.7192055608182244E-12</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1.4741858844420141E-12</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1.6836257886925252E-2</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1.5269289624264071E-5</v>
      </c>
      <c r="CN264" s="189">
        <f>$C264+SUM($D264:CM264,CO264:$FB264)-SUM(CN$176:CN263,CN265:CN$330)-CN$331</f>
        <v>1.5119538108489261E-19</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5.6789193190785007E-6</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1.4391216738790534E-6</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1.0401186776971218E-9</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2.5106194680461549E-12</v>
      </c>
      <c r="CN265" s="190">
        <f t="shared" ref="CN265:CN296" si="522">CN98*CN$168</f>
        <v>0</v>
      </c>
      <c r="CO265" s="189">
        <f>$C265+SUM($D265:CN265,CP265:$FB265)-SUM(CO$176:CO264,CO266:CO$330)-CO$331</f>
        <v>-1.8096784710132099E-25</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1.2790846325657746E-13</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2.590937269912987E-14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3.527972865143257E-7</v>
      </c>
      <c r="CN266" s="190">
        <f t="shared" si="522"/>
        <v>0</v>
      </c>
      <c r="CO266" s="190">
        <f t="shared" ref="CO266:CO297" si="527">CO99*CO$168</f>
        <v>0</v>
      </c>
      <c r="CP266" s="189">
        <f>$C266+SUM($D266:CO266,CQ266:$FB266)-SUM(CP$176:CP265,CP267:CP$330)-CP$331</f>
        <v>1.0587911840678754E-22</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1.4114599407774413E-2</v>
      </c>
      <c r="CO267" s="190">
        <f t="shared" si="527"/>
        <v>0</v>
      </c>
      <c r="CP267" s="190">
        <f t="shared" ref="CP267:CP298" si="532">CP100*CP$168</f>
        <v>0</v>
      </c>
      <c r="CQ267" s="189">
        <f>$C267+SUM($D267:CP267,CR267:$FB267)-SUM(CQ$176:CQ266,CQ268:CQ$330)-CQ$331</f>
        <v>1.7347234759768071E-18</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1.0131386211530117E-9</v>
      </c>
      <c r="CP268" s="190">
        <f t="shared" si="532"/>
        <v>0</v>
      </c>
      <c r="CQ268" s="190">
        <f t="shared" ref="CQ268:CQ299" si="537">CQ101*CQ$168</f>
        <v>0</v>
      </c>
      <c r="CR268" s="189">
        <f>$C268+SUM($D268:CQ268,CS268:$FB268)-SUM(CR$176:CR267,CR269:CR$330)-CR$331</f>
        <v>2.0679515313825692E-25</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4.6864062891594678E-10</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2.9394977195584657E-9</v>
      </c>
      <c r="CN270" s="190">
        <f t="shared" si="522"/>
        <v>0</v>
      </c>
      <c r="CO270" s="190">
        <f t="shared" si="527"/>
        <v>0</v>
      </c>
      <c r="CP270" s="190">
        <f t="shared" si="532"/>
        <v>1.7639864325716279E-7</v>
      </c>
      <c r="CQ270" s="190">
        <f t="shared" si="537"/>
        <v>0</v>
      </c>
      <c r="CR270" s="190">
        <f t="shared" si="542"/>
        <v>0</v>
      </c>
      <c r="CS270" s="190">
        <f t="shared" ref="CS270:CS301" si="547">CS103*CS$168</f>
        <v>0</v>
      </c>
      <c r="CT270" s="189">
        <f>$C270+SUM($D270:CS270,CU270:$FB270)-SUM(CT$176:CT269,CT271:CT$330)-CT$331</f>
        <v>-5.2939559203393771E-23</v>
      </c>
      <c r="CU270" s="184">
        <f t="shared" ref="CU270:DZ270" si="548">CU103*CU$168</f>
        <v>0</v>
      </c>
      <c r="CV270" s="184">
        <f t="shared" si="548"/>
        <v>0</v>
      </c>
      <c r="CW270" s="184">
        <f t="shared" si="548"/>
        <v>0</v>
      </c>
      <c r="CX270" s="184">
        <f t="shared" si="548"/>
        <v>1.7211468045724286E-18</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1.2760604176478747E-12</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1.9640714917620559E-16</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-2.9830573082942832E+16</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1.1760452328112014E-4</v>
      </c>
      <c r="CO271" s="190">
        <f t="shared" si="527"/>
        <v>0</v>
      </c>
      <c r="CP271" s="190">
        <f t="shared" si="532"/>
        <v>0</v>
      </c>
      <c r="CQ271" s="190">
        <f t="shared" si="537"/>
        <v>7.0572997038872059E-3</v>
      </c>
      <c r="CR271" s="190">
        <f t="shared" si="542"/>
        <v>0</v>
      </c>
      <c r="CS271" s="190">
        <f t="shared" si="547"/>
        <v>0</v>
      </c>
      <c r="CT271" s="190">
        <f t="shared" ref="CT271:CT302" si="552">CT104*CT$168</f>
        <v>1.7854617509266103E-7</v>
      </c>
      <c r="CU271" s="189">
        <f>$C271+SUM($D271:CT271,CV271:$FB271)-SUM(CU$176:CU270,CU272:CU$330)-CU$331</f>
        <v>-256</v>
      </c>
      <c r="CV271" s="184">
        <f t="shared" ref="CV271:EA271" si="553">CV104*CV$168</f>
        <v>0</v>
      </c>
      <c r="CW271" s="184">
        <f t="shared" si="553"/>
        <v>0</v>
      </c>
      <c r="CX271" s="184">
        <f t="shared" si="553"/>
        <v>0</v>
      </c>
      <c r="CY271" s="184">
        <f t="shared" si="553"/>
        <v>-1.2245677440455421E+18</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9.171662894250969E-3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-1.9011187928359856E+17</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0.28379794242790946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6.8465033875255956E-12</v>
      </c>
      <c r="CP272" s="190">
        <f t="shared" si="532"/>
        <v>0</v>
      </c>
      <c r="CQ272" s="190">
        <f t="shared" si="537"/>
        <v>0</v>
      </c>
      <c r="CR272" s="190">
        <f t="shared" si="542"/>
        <v>5.0656931057650577E-10</v>
      </c>
      <c r="CS272" s="190">
        <f t="shared" si="547"/>
        <v>0</v>
      </c>
      <c r="CT272" s="190">
        <f t="shared" si="552"/>
        <v>1.258288525861833E-9</v>
      </c>
      <c r="CU272" s="190">
        <f t="shared" ref="CU272:CU303" si="557">CU105*CU$168</f>
        <v>0</v>
      </c>
      <c r="CV272" s="189">
        <f>$C272+SUM($D272:CU272,CW272:$FB272)-SUM(CV$176:CV271,CV273:CV$330)-CV$331</f>
        <v>-3.5527136788005009E-15</v>
      </c>
      <c r="CW272" s="184">
        <f t="shared" ref="CW272:EB272" si="558">CW105*CW$168</f>
        <v>0</v>
      </c>
      <c r="CX272" s="184">
        <f t="shared" si="558"/>
        <v>0</v>
      </c>
      <c r="CY272" s="184">
        <f t="shared" si="558"/>
        <v>0</v>
      </c>
      <c r="CZ272" s="184">
        <f t="shared" si="558"/>
        <v>17.454572911586549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5.1099523186157531E-8</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2.7038792338971209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3.0469825070825319E-12</v>
      </c>
      <c r="CU274" s="190">
        <f t="shared" si="557"/>
        <v>0</v>
      </c>
      <c r="CV274" s="190">
        <f t="shared" si="563"/>
        <v>0</v>
      </c>
      <c r="CW274" s="190">
        <f t="shared" ref="CW274:CW305" si="569">CW107*CW$168</f>
        <v>0</v>
      </c>
      <c r="CX274" s="189">
        <f>$C274+SUM($D274:CW274,CY274:$FB274)-SUM(CX$176:CX273,CX275:CX$330)-CX$331</f>
        <v>4.0389678347315804E-28</v>
      </c>
      <c r="CY274" s="184">
        <f t="shared" ref="CY274:ED274" si="570">CY107*CY$168</f>
        <v>0</v>
      </c>
      <c r="CZ274" s="184">
        <f t="shared" si="570"/>
        <v>0</v>
      </c>
      <c r="DA274" s="184">
        <f t="shared" si="570"/>
        <v>0</v>
      </c>
      <c r="DB274" s="184">
        <f t="shared" si="570"/>
        <v>5.1080833146843294E-40</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4.995087775207321E-23</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-1.2245677440455421E+18</v>
      </c>
      <c r="CV275" s="190">
        <f t="shared" si="563"/>
        <v>0</v>
      </c>
      <c r="CW275" s="190">
        <f t="shared" si="569"/>
        <v>0</v>
      </c>
      <c r="CX275" s="190">
        <f t="shared" ref="CX275:CX306" si="575">CX108*CX$168</f>
        <v>3.0256574629002868E-12</v>
      </c>
      <c r="CY275" s="189">
        <f>$C275+SUM($D275:CX275,CZ275:$FB275)-SUM(CY$176:CY274,CY276:CY$330)-CY$331</f>
        <v>0</v>
      </c>
      <c r="CZ275" s="184">
        <f t="shared" ref="CZ275:EE275" si="576">CZ108*CZ$168</f>
        <v>0</v>
      </c>
      <c r="DA275" s="184">
        <f t="shared" si="576"/>
        <v>0</v>
      </c>
      <c r="DB275" s="184">
        <f t="shared" si="576"/>
        <v>0</v>
      </c>
      <c r="DC275" s="184">
        <f t="shared" si="576"/>
        <v>-491.42380416254389</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-1.9011187928359824E+17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18.426020658663425</v>
      </c>
      <c r="CW276" s="190">
        <f t="shared" si="569"/>
        <v>0</v>
      </c>
      <c r="CX276" s="190">
        <f t="shared" si="575"/>
        <v>2.1323055880529726E-14</v>
      </c>
      <c r="CY276" s="190">
        <f t="shared" ref="CY276:CY307" si="581">CY109*CY$168</f>
        <v>0</v>
      </c>
      <c r="CZ276" s="189">
        <f>$C276+SUM($D276:CY276,DA276:$FB276)-SUM(CZ$176:CZ275,CZ277:CZ$330)-CZ$331</f>
        <v>-3.5527136788005009E-15</v>
      </c>
      <c r="DA276" s="184">
        <f t="shared" ref="DA276:EF276" si="582">DA109*DA$168</f>
        <v>0</v>
      </c>
      <c r="DB276" s="184">
        <f t="shared" si="582"/>
        <v>0</v>
      </c>
      <c r="DC276" s="184">
        <f t="shared" si="582"/>
        <v>0</v>
      </c>
      <c r="DD276" s="184">
        <f t="shared" si="582"/>
        <v>11.192180445444318</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1.7417501013520655</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6.90913211699143E-34</v>
      </c>
      <c r="CY278" s="190">
        <f t="shared" si="581"/>
        <v>0</v>
      </c>
      <c r="CZ278" s="190">
        <f t="shared" si="587"/>
        <v>0</v>
      </c>
      <c r="DA278" s="190">
        <f t="shared" ref="DA278:DA309" si="593">DA111*DA$168</f>
        <v>0</v>
      </c>
      <c r="DB278" s="189">
        <f>$C278+SUM($D278:DA278,DC278:$FB278)-SUM(DB$176:DB277,DB279:DB$330)-DB$331</f>
        <v>-1.0955193025203348E-49</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-491.57342693487573</v>
      </c>
      <c r="CZ279" s="190">
        <f t="shared" si="587"/>
        <v>0</v>
      </c>
      <c r="DA279" s="190">
        <f t="shared" si="593"/>
        <v>0</v>
      </c>
      <c r="DB279" s="190">
        <f t="shared" ref="DB279:DB310" si="599">DB112*DB$168</f>
        <v>2.0763715551801697E-34</v>
      </c>
      <c r="DC279" s="189">
        <f>$C279+SUM($D279:DB279,DD279:$FB279)-SUM(DC$176:DC278,DC280:DC$330)-DC$331</f>
        <v>2.7478019859472624E-14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11.195588105090637</v>
      </c>
      <c r="DA280" s="190">
        <f t="shared" si="593"/>
        <v>0</v>
      </c>
      <c r="DB280" s="190">
        <f t="shared" si="599"/>
        <v>4.8327554521726997E-34</v>
      </c>
      <c r="DC280" s="190">
        <f t="shared" ref="DC280:DC311" si="605">DC113*DC$168</f>
        <v>0</v>
      </c>
      <c r="DD280" s="189">
        <f>$C280+SUM($D280:DC280,DE280:$FB280)-SUM(DD$176:DD279,DD281:DD$330)-DD$331</f>
        <v>-1.169203622808368E-15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5.4389651621336384E-8</v>
      </c>
      <c r="CN282" s="190">
        <f t="shared" si="522"/>
        <v>0</v>
      </c>
      <c r="CO282" s="190">
        <f t="shared" si="527"/>
        <v>0</v>
      </c>
      <c r="CP282" s="190">
        <f t="shared" si="532"/>
        <v>1.7639864325716279E-7</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1.2688374854320378E-23</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2.1759728322528777E-3</v>
      </c>
      <c r="CO283" s="190">
        <f t="shared" si="527"/>
        <v>0</v>
      </c>
      <c r="CP283" s="190">
        <f t="shared" si="532"/>
        <v>0</v>
      </c>
      <c r="CQ283" s="190">
        <f t="shared" si="537"/>
        <v>7.0572997038872059E-3</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1.8020090284902033E-7</v>
      </c>
      <c r="DG283" s="189">
        <f>$C283+SUM($D283:DF283,DH283:$FB283)-SUM(DG$176:DG282,DG284:DG$330)-DG$331</f>
        <v>-1.6263032587282567E-18</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6.8465033875255956E-12</v>
      </c>
      <c r="CP284" s="190">
        <f t="shared" si="532"/>
        <v>0</v>
      </c>
      <c r="CQ284" s="190">
        <f t="shared" si="537"/>
        <v>0</v>
      </c>
      <c r="CR284" s="190">
        <f t="shared" si="542"/>
        <v>5.0656931057650577E-10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5.0586107372193488E-8</v>
      </c>
      <c r="DG284" s="190">
        <f t="shared" ref="DG284:DG330" si="627">DG117*DG$168</f>
        <v>0</v>
      </c>
      <c r="DH284" s="189">
        <f>$C284+SUM($D284:DG284,DI284:$FB284)-SUM(DH$176:DH283,DH285:DH$330)-DH$331</f>
        <v>-1.3234889800848443E-23</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3.6663635722771423E-9</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-1.0944320933151599E-25</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1.4668003924993666E-4</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3.6219576191723581E-9</v>
      </c>
      <c r="DK287" s="189">
        <f>$C287+SUM($D287:DJ287,DL287:$FB287)-SUM(DK$176:DK286,DK288:DK$330)-DK$331</f>
        <v>-9.4927247096585456E-21</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5.1940701462652949E-12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5.7567434736361694E-16</v>
      </c>
      <c r="DK288" s="190">
        <f t="shared" ref="DK288:DK330" si="647">DK121*DK$168</f>
        <v>0</v>
      </c>
      <c r="DL288" s="189">
        <f>$C288+SUM($D288:DK288,DM288:$FB288)-SUM(DL$176:DL287,DL289:DL$330)-DL$331</f>
        <v>4.2080798912883348E-29</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3.1321660313002756E-11</v>
      </c>
      <c r="DK289" s="190">
        <f t="shared" si="647"/>
        <v>0</v>
      </c>
      <c r="DL289" s="190">
        <f t="shared" ref="DL289:DL330" si="652">DL122*DL$168</f>
        <v>0</v>
      </c>
      <c r="DM289" s="189">
        <f>$C289+SUM($D289:DL289,DN289:$FB289)-SUM(DM$176:DM288,DM290:DM$330)-DM$331</f>
        <v>6.4623485355705287E-27</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1.034649970505397E-4</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4.8819220708112913E-12</v>
      </c>
      <c r="DM291" s="190">
        <f t="shared" si="657"/>
        <v>0</v>
      </c>
      <c r="DN291" s="190">
        <f t="shared" ref="DN291:DN330" si="662">DN124*DN$168</f>
        <v>0</v>
      </c>
      <c r="DO291" s="189">
        <f>$C291+SUM($D291:DN291,DP291:$FB291)-SUM(DO$176:DO290,DO292:DO$330)-DO$331</f>
        <v>8.0779356694631609E-28</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4.7303840345493092E-13</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7.6425935537159987E-13</v>
      </c>
      <c r="DK293" s="190">
        <f t="shared" si="647"/>
        <v>0</v>
      </c>
      <c r="DL293" s="190">
        <f t="shared" si="652"/>
        <v>0</v>
      </c>
      <c r="DM293" s="190">
        <f t="shared" si="657"/>
        <v>1.879299618780165E-11</v>
      </c>
      <c r="DN293" s="190">
        <f t="shared" si="662"/>
        <v>0</v>
      </c>
      <c r="DO293" s="190">
        <f t="shared" si="667"/>
        <v>0</v>
      </c>
      <c r="DP293" s="190">
        <f t="shared" ref="DP293:DP330" si="672">DP126*DP$168</f>
        <v>0</v>
      </c>
      <c r="DQ293" s="189">
        <f>$C293+SUM($D293:DP293,DR293:$FB293)-SUM(DQ$176:DQ292,DQ294:DQ$330)-DQ$331</f>
        <v>6.4623485355705287E-27</v>
      </c>
      <c r="DR293" s="184">
        <f t="shared" ref="DR293:FB293" si="673">DR126*DR$168</f>
        <v>0</v>
      </c>
      <c r="DS293" s="184">
        <f t="shared" si="673"/>
        <v>0</v>
      </c>
      <c r="DT293" s="184">
        <f t="shared" si="673"/>
        <v>0</v>
      </c>
      <c r="DU293" s="184">
        <f t="shared" si="673"/>
        <v>2.2864719967657754E-22</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4.8494165496153286E-17</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-1.9011187928359821E+17</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2.524566094177782E-6</v>
      </c>
      <c r="DL294" s="190">
        <f t="shared" si="652"/>
        <v>0</v>
      </c>
      <c r="DM294" s="190">
        <f t="shared" si="657"/>
        <v>0</v>
      </c>
      <c r="DN294" s="190">
        <f t="shared" si="662"/>
        <v>6.2078998230323824E-5</v>
      </c>
      <c r="DO294" s="190">
        <f t="shared" si="667"/>
        <v>0</v>
      </c>
      <c r="DP294" s="190">
        <f t="shared" si="672"/>
        <v>0</v>
      </c>
      <c r="DQ294" s="190">
        <f t="shared" ref="DQ294:DQ330" si="677">DQ127*DQ$168</f>
        <v>1.9888374674751686E-11</v>
      </c>
      <c r="DR294" s="189">
        <f>$C294+SUM($D294:DQ294,DS294:$FB294)-SUM(DR$176:DR293,DR295:DR$330)-DR$331</f>
        <v>-128</v>
      </c>
      <c r="DS294" s="184">
        <f t="shared" ref="DS294:FB294" si="678">DS127*DS$168</f>
        <v>0</v>
      </c>
      <c r="DT294" s="184">
        <f t="shared" si="678"/>
        <v>0</v>
      </c>
      <c r="DU294" s="184">
        <f t="shared" si="678"/>
        <v>0</v>
      </c>
      <c r="DV294" s="184">
        <f t="shared" si="678"/>
        <v>-8.7022592554226202E+17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7.5887060587600773E-5</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1.742770310089635</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1.1084856524064505E-13</v>
      </c>
      <c r="DM295" s="190">
        <f t="shared" si="657"/>
        <v>0</v>
      </c>
      <c r="DN295" s="190">
        <f t="shared" si="662"/>
        <v>0</v>
      </c>
      <c r="DO295" s="190">
        <f t="shared" si="667"/>
        <v>2.9291532424867744E-12</v>
      </c>
      <c r="DP295" s="190">
        <f t="shared" si="672"/>
        <v>0</v>
      </c>
      <c r="DQ295" s="190">
        <f t="shared" si="677"/>
        <v>1.415970992881021E-13</v>
      </c>
      <c r="DR295" s="190">
        <f t="shared" ref="DR295:DR330" si="682">DR128*DR$168</f>
        <v>0</v>
      </c>
      <c r="DS295" s="189">
        <f>$C295+SUM($D295:DR295,DT295:$FB295)-SUM(DS$176:DS294,DS296:DS$330)-DS$331</f>
        <v>1.7763568394002505E-15</v>
      </c>
      <c r="DT295" s="184">
        <f t="shared" ref="DT295:FB295" si="683">DT128*DT$168</f>
        <v>0</v>
      </c>
      <c r="DU295" s="184">
        <f t="shared" si="683"/>
        <v>0</v>
      </c>
      <c r="DV295" s="184">
        <f t="shared" si="683"/>
        <v>0</v>
      </c>
      <c r="DW295" s="184">
        <f t="shared" si="683"/>
        <v>7.9727584605661042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7.4279853251393443E-12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3.7066698253170779E-16</v>
      </c>
      <c r="DR297" s="190">
        <f t="shared" si="682"/>
        <v>0</v>
      </c>
      <c r="DS297" s="190">
        <f t="shared" si="687"/>
        <v>0</v>
      </c>
      <c r="DT297" s="190">
        <f t="shared" ref="DT297:DT330" si="692">DT130*DT$168</f>
        <v>0</v>
      </c>
      <c r="DU297" s="189">
        <f>$C297+SUM($D297:DT297,DV297:$FB297)-SUM(DU$176:DU296,DU298:DU$330)-DU$331</f>
        <v>4.9303806576313238E-32</v>
      </c>
      <c r="DV297" s="184">
        <f t="shared" ref="DV297:FB297" si="693">DV130*DV$168</f>
        <v>0</v>
      </c>
      <c r="DW297" s="184">
        <f t="shared" si="693"/>
        <v>0</v>
      </c>
      <c r="DX297" s="184">
        <f t="shared" si="693"/>
        <v>0</v>
      </c>
      <c r="DY297" s="184">
        <f t="shared" si="693"/>
        <v>6.4058255856248506E-44</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-1.0603378048258601E+18</v>
      </c>
      <c r="DS298" s="190">
        <f t="shared" si="687"/>
        <v>0</v>
      </c>
      <c r="DT298" s="190">
        <f t="shared" si="692"/>
        <v>0</v>
      </c>
      <c r="DU298" s="190">
        <f t="shared" ref="DU298:DU330" si="697">DU131*DU$168</f>
        <v>3.6804636424110471E-16</v>
      </c>
      <c r="DV298" s="189">
        <f>$C298+SUM($D298:DU298,DW298:$FB298)-SUM(DV$176:DV297,DV299:DV$330)-DV$331</f>
        <v>128</v>
      </c>
      <c r="DW298" s="184">
        <f t="shared" ref="DW298:FB298" si="698">DW131*DW$168</f>
        <v>0</v>
      </c>
      <c r="DX298" s="184">
        <f t="shared" si="698"/>
        <v>0</v>
      </c>
      <c r="DY298" s="184">
        <f t="shared" si="698"/>
        <v>0</v>
      </c>
      <c r="DZ298" s="184">
        <f t="shared" si="698"/>
        <v>-323.12050319566663</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9.7155287706663476</v>
      </c>
      <c r="DT299" s="190">
        <f t="shared" si="692"/>
        <v>0</v>
      </c>
      <c r="DU299" s="190">
        <f t="shared" si="697"/>
        <v>2.6203396925255967E-18</v>
      </c>
      <c r="DV299" s="190">
        <f t="shared" ref="DV299:DV330" si="702">DV132*DV$168</f>
        <v>0</v>
      </c>
      <c r="DW299" s="189">
        <f>$C299+SUM($D299:DV299,DX299:$FB299)-SUM(DW$176:DW298,DW300:DW$330)-DW$331</f>
        <v>-3.5527136788005009E-15</v>
      </c>
      <c r="DX299" s="184">
        <f t="shared" ref="DX299:FB299" si="703">DX132*DX$168</f>
        <v>0</v>
      </c>
      <c r="DY299" s="184">
        <f t="shared" si="703"/>
        <v>0</v>
      </c>
      <c r="DZ299" s="184">
        <f t="shared" si="703"/>
        <v>0</v>
      </c>
      <c r="EA299" s="184">
        <f t="shared" si="703"/>
        <v>4.7301314386238955</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8.4916492178524455E-38</v>
      </c>
      <c r="DV301" s="190">
        <f t="shared" si="702"/>
        <v>0</v>
      </c>
      <c r="DW301" s="190">
        <f t="shared" si="707"/>
        <v>0</v>
      </c>
      <c r="DX301" s="190">
        <f t="shared" ref="DX301:DX330" si="712">DX134*DX$168</f>
        <v>0</v>
      </c>
      <c r="DY301" s="189">
        <f>$C301+SUM($D301:DX301,DZ301:$FB301)-SUM(DY$176:DY300,DY302:DY$330)-DY$331</f>
        <v>1.9169918906424825E-53</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-323.19019478211703</v>
      </c>
      <c r="DW302" s="190">
        <f t="shared" si="707"/>
        <v>0</v>
      </c>
      <c r="DX302" s="190">
        <f t="shared" si="712"/>
        <v>0</v>
      </c>
      <c r="DY302" s="190">
        <f t="shared" ref="DY302:DY330" si="717">DY135*DY$168</f>
        <v>2.4075886035601476E-38</v>
      </c>
      <c r="DZ302" s="189">
        <f>$C302+SUM($D302:DY302,EA302:$FB302)-SUM(DZ$176:DZ301,DZ303:DZ$330)-DZ$331</f>
        <v>-6.6557870326278135E-14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4.7311516473720756</v>
      </c>
      <c r="DX303" s="190">
        <f t="shared" si="712"/>
        <v>0</v>
      </c>
      <c r="DY303" s="190">
        <f t="shared" si="717"/>
        <v>6.0840542070850835E-38</v>
      </c>
      <c r="DZ303" s="190">
        <f t="shared" ref="DZ303:DZ330" si="722">DZ136*DZ$168</f>
        <v>0</v>
      </c>
      <c r="EA303" s="189">
        <f>$C303+SUM($D303:DZ303,EB303:$FB303)-SUM(EA$176:EA302,EA304:EA$330)-EA$331</f>
        <v>8.0404433111525009E-16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1.0599342550193981E-11</v>
      </c>
      <c r="DK305" s="190">
        <f t="shared" si="647"/>
        <v>0</v>
      </c>
      <c r="DL305" s="190">
        <f t="shared" si="652"/>
        <v>0</v>
      </c>
      <c r="DM305" s="190">
        <f t="shared" si="657"/>
        <v>1.25286641252011E-11</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-3.8678329258059875E-27</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3.5012173963504771E-5</v>
      </c>
      <c r="DL306" s="190">
        <f t="shared" si="652"/>
        <v>0</v>
      </c>
      <c r="DM306" s="190">
        <f t="shared" si="657"/>
        <v>0</v>
      </c>
      <c r="DN306" s="190">
        <f t="shared" si="662"/>
        <v>4.1385998820215878E-5</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1.7726640401280785E-11</v>
      </c>
      <c r="ED306" s="189">
        <f>$C306+SUM($D306:EC306,EE306:$FB306)-SUM(ED$176:ED305,ED307:ED$330)-ED$331</f>
        <v>4.0234064994579266E-21</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7.3899043493763384E-14</v>
      </c>
      <c r="DM307" s="190">
        <f t="shared" si="657"/>
        <v>0</v>
      </c>
      <c r="DN307" s="190">
        <f t="shared" si="662"/>
        <v>0</v>
      </c>
      <c r="DO307" s="190">
        <f t="shared" si="667"/>
        <v>1.9527688283245161E-12</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5.4013174533210647E-12</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6.3503279862037384E-9</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4.6405571053576502E-25</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2.5405728043708742E-4</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6.0900772494541891E-9</v>
      </c>
      <c r="EH310" s="189">
        <f>$C310+SUM($D310:EG310,EI310:$FB310)-SUM(EH$176:EH309,EH311:EH$330)-EH$331</f>
        <v>3.6483007711804424E-20</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8.9963933914082011E-12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9.6783217022592128E-16</v>
      </c>
      <c r="EH311" s="190">
        <f t="shared" ref="EH311:EH330" si="769">EH144*EH$168</f>
        <v>0</v>
      </c>
      <c r="EI311" s="189">
        <f>$C311+SUM($D311:EH311,EJ311:$FB311)-SUM(EI$176:EI310,EI312:EI$330)-EI$331</f>
        <v>1.952233525195699E-27</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2.4394582118316173E-10</v>
      </c>
      <c r="EH312" s="190">
        <f t="shared" si="769"/>
        <v>0</v>
      </c>
      <c r="EI312" s="190">
        <f t="shared" ref="EI312:EI330" si="775">EI145*EI$168</f>
        <v>0</v>
      </c>
      <c r="EJ312" s="189">
        <f>$C312+SUM($D312:EI312,EK312:$FB312)-SUM(EJ$176:EJ311,EJ313:EJ$330)-EJ$331</f>
        <v>5.169878828456423E-26</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2.3814707524863742E-4</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8.9066098908087286E-12</v>
      </c>
      <c r="EJ314" s="190">
        <f t="shared" si="781"/>
        <v>0</v>
      </c>
      <c r="EK314" s="190">
        <f t="shared" ref="EK314:EK330" si="787">EK147*EK$168</f>
        <v>0</v>
      </c>
      <c r="EL314" s="189">
        <f>$C314+SUM($D314:EK314,EM314:$FB314)-SUM(EL$176:EL313,EL315:EL$330)-EL$331</f>
        <v>-1.6155871338926322E-27</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2.0663534951166782E-12</v>
      </c>
      <c r="EH316" s="190">
        <f t="shared" si="769"/>
        <v>0</v>
      </c>
      <c r="EI316" s="190">
        <f t="shared" si="775"/>
        <v>0</v>
      </c>
      <c r="EJ316" s="190">
        <f t="shared" si="781"/>
        <v>1.7076207482821317E-10</v>
      </c>
      <c r="EK316" s="190">
        <f t="shared" si="787"/>
        <v>0</v>
      </c>
      <c r="EL316" s="190">
        <f t="shared" si="792"/>
        <v>0</v>
      </c>
      <c r="EM316" s="190">
        <f t="shared" ref="EM316:EM330" si="797">EM149*EM$168</f>
        <v>0</v>
      </c>
      <c r="EN316" s="189">
        <f>$C316+SUM($D316:EM316,EO316:$FB316)-SUM(EN$176:EN315,EN317:EN$330)-EN$331</f>
        <v>0</v>
      </c>
      <c r="EO316" s="190">
        <f t="shared" ref="EO316:FB316" si="798">EO149*EO$168</f>
        <v>0</v>
      </c>
      <c r="EP316" s="190">
        <f t="shared" si="798"/>
        <v>0</v>
      </c>
      <c r="EQ316" s="190">
        <f t="shared" si="798"/>
        <v>0</v>
      </c>
      <c r="ER316" s="190">
        <f t="shared" si="798"/>
        <v>1.3603387903085433E-21</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8.5320166220223808E-16</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2.017307479479512E-6</v>
      </c>
      <c r="EI317" s="190">
        <f t="shared" si="775"/>
        <v>0</v>
      </c>
      <c r="EJ317" s="190">
        <f t="shared" si="781"/>
        <v>0</v>
      </c>
      <c r="EK317" s="190">
        <f t="shared" si="787"/>
        <v>1.667029526740462E-4</v>
      </c>
      <c r="EL317" s="190">
        <f t="shared" si="792"/>
        <v>0</v>
      </c>
      <c r="EM317" s="190">
        <f t="shared" si="797"/>
        <v>0</v>
      </c>
      <c r="EN317" s="190">
        <f t="shared" ref="EN317:EN330" si="802">EN150*EN$168</f>
        <v>1.7162412453647406E-10</v>
      </c>
      <c r="EO317" s="189">
        <f>$C317+SUM($D317:EN317,EP317:$FB317)-SUM(EO$176:EO316,EO318:EO$330)-EO$331</f>
        <v>0</v>
      </c>
      <c r="EP317" s="190">
        <f t="shared" ref="EP317:FB317" si="803">EP150*EP$168</f>
        <v>0</v>
      </c>
      <c r="EQ317" s="190">
        <f t="shared" si="803"/>
        <v>0</v>
      </c>
      <c r="ER317" s="190">
        <f t="shared" si="803"/>
        <v>0</v>
      </c>
      <c r="ES317" s="190">
        <f t="shared" si="803"/>
        <v>-2.7606229204725248E+18</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8.3341229576144852E-5</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4.537275084142083E-14</v>
      </c>
      <c r="EJ318" s="190">
        <f t="shared" si="781"/>
        <v>0</v>
      </c>
      <c r="EK318" s="190">
        <f t="shared" si="787"/>
        <v>0</v>
      </c>
      <c r="EL318" s="190">
        <f t="shared" si="792"/>
        <v>6.2346269235661102E-12</v>
      </c>
      <c r="EM318" s="190">
        <f t="shared" si="797"/>
        <v>0</v>
      </c>
      <c r="EN318" s="190">
        <f t="shared" si="802"/>
        <v>1.2023049530682078E-12</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64.969258548115505</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2.0868029877469427E-11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2.6720486076110081E-19</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2.6556296609574E-15</v>
      </c>
      <c r="EO320" s="190">
        <f t="shared" si="807"/>
        <v>0</v>
      </c>
      <c r="EP320" s="190">
        <f t="shared" si="812"/>
        <v>0</v>
      </c>
      <c r="EQ320" s="190">
        <f t="shared" ref="EQ320:EQ330" si="817">EQ153*EQ$168</f>
        <v>0</v>
      </c>
      <c r="ER320" s="189">
        <f>$C320+SUM($D320:EQ320,ES320:$FB320)-SUM(ER$176:ER319,ER321:ER$330)-ER$331</f>
        <v>0</v>
      </c>
      <c r="ES320" s="190">
        <f t="shared" ref="ES320:FB320" si="818">ES153*ES$168</f>
        <v>0</v>
      </c>
      <c r="ET320" s="190">
        <f t="shared" si="818"/>
        <v>0</v>
      </c>
      <c r="EU320" s="190">
        <f t="shared" si="818"/>
        <v>0</v>
      </c>
      <c r="EV320" s="190">
        <f t="shared" si="818"/>
        <v>4.3743565247158553E-43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-1.9011187928359824E+17</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-2.5705110411889265E+18</v>
      </c>
      <c r="EP321" s="190">
        <f t="shared" si="812"/>
        <v>0</v>
      </c>
      <c r="EQ321" s="190">
        <f t="shared" si="817"/>
        <v>0</v>
      </c>
      <c r="ER321" s="190">
        <f t="shared" ref="ER321:ER330" si="822">ER154*ER$168</f>
        <v>2.6374191860269536E-15</v>
      </c>
      <c r="ES321" s="189">
        <f>$C321+SUM($D321:ER321,ET321:$FB321)-SUM(ES$176:ES320,ES322:ES$330)-ES$331</f>
        <v>0</v>
      </c>
      <c r="ET321" s="190">
        <f t="shared" ref="ET321:FB321" si="823">ET154*ET$168</f>
        <v>0</v>
      </c>
      <c r="EU321" s="190">
        <f t="shared" si="823"/>
        <v>0</v>
      </c>
      <c r="EV321" s="190">
        <f t="shared" si="823"/>
        <v>0</v>
      </c>
      <c r="EW321" s="190">
        <f t="shared" si="823"/>
        <v>-1214.6681338350738</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2.7097901887826441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62.265379314246736</v>
      </c>
      <c r="EQ322" s="190">
        <f t="shared" si="817"/>
        <v>0</v>
      </c>
      <c r="ER322" s="190">
        <f t="shared" si="822"/>
        <v>1.8476319452417198E-17</v>
      </c>
      <c r="ES322" s="190">
        <f t="shared" ref="ES322:ES330" si="827">ES155*ES$168</f>
        <v>0</v>
      </c>
      <c r="ET322" s="189">
        <f>$C322+SUM($D322:ES322,EU322:$FB322)-SUM(ET$176:ET321,ET323:ET$330)-ET$331</f>
        <v>-1.4210854715202004E-14</v>
      </c>
      <c r="EU322" s="190">
        <f t="shared" ref="EU322:FB322" si="828">EU155*EU$168</f>
        <v>0</v>
      </c>
      <c r="EV322" s="190">
        <f t="shared" si="828"/>
        <v>0</v>
      </c>
      <c r="EW322" s="190">
        <f t="shared" si="828"/>
        <v>0</v>
      </c>
      <c r="EX322" s="190">
        <f t="shared" si="828"/>
        <v>45.676262693556438</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5.9862359292628835E-37</v>
      </c>
      <c r="ES324" s="190">
        <f t="shared" si="827"/>
        <v>0</v>
      </c>
      <c r="ET324" s="190">
        <f t="shared" si="832"/>
        <v>0</v>
      </c>
      <c r="EU324" s="190">
        <f t="shared" ref="EU324:EU330" si="837">EU157*EU$168</f>
        <v>0</v>
      </c>
      <c r="EV324" s="189">
        <f>$C324+SUM($D324:EU324,EW324:$FB324)-SUM(EV$176:EV323,EV325:EV$330)-EV$331</f>
        <v>-1.2838608826943626E-52</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-1214.8253237659271</v>
      </c>
      <c r="ET325" s="190">
        <f t="shared" si="832"/>
        <v>0</v>
      </c>
      <c r="EU325" s="190">
        <f t="shared" si="837"/>
        <v>0</v>
      </c>
      <c r="EV325" s="190">
        <f t="shared" ref="EV325:EV330" si="842">EV158*EV$168</f>
        <v>1.8570793107229397E-37</v>
      </c>
      <c r="EW325" s="189">
        <f>$C325+SUM($D325:EV325,EX325:$FB325)-SUM(EW$176:EW324,EW326:EW$330)-EW$331</f>
        <v>-7.7576833845682813E-14</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45.682173648470332</v>
      </c>
      <c r="EU326" s="190">
        <f t="shared" si="837"/>
        <v>0</v>
      </c>
      <c r="EV326" s="190">
        <f t="shared" si="842"/>
        <v>4.1291522436173358E-37</v>
      </c>
      <c r="EW326" s="190">
        <f>EW159*EW$168</f>
        <v>0</v>
      </c>
      <c r="EX326" s="189">
        <f>$C326+SUM($D326:EW326,EY326:$FB326)-SUM(EX$176:EX325,EX327:EX$330)-EX$331</f>
        <v>7.630181209083986E-15</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1.2762057340520134E-11</v>
      </c>
      <c r="EH328" s="190">
        <f t="shared" si="769"/>
        <v>0</v>
      </c>
      <c r="EI328" s="190">
        <f t="shared" si="775"/>
        <v>0</v>
      </c>
      <c r="EJ328" s="190">
        <f t="shared" si="781"/>
        <v>7.3183746354948516E-11</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-1.6333183234814299E-26</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1.245854723271474E-5</v>
      </c>
      <c r="EI329" s="190">
        <f t="shared" si="775"/>
        <v>0</v>
      </c>
      <c r="EJ329" s="190">
        <f t="shared" si="781"/>
        <v>0</v>
      </c>
      <c r="EK329" s="190">
        <f t="shared" si="787"/>
        <v>7.144412257459124E-5</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6.7768343299815964E-11</v>
      </c>
      <c r="FA329" s="189">
        <f>$C329+SUM($D329:EZ329,FB329:$FB329)-SUM(FA$176:FA328,FA330:FA$330)-FA$331</f>
        <v>0</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1.9445464646323213E-14</v>
      </c>
      <c r="EJ330" s="190">
        <f t="shared" si="781"/>
        <v>0</v>
      </c>
      <c r="EK330" s="190">
        <f t="shared" si="787"/>
        <v>0</v>
      </c>
      <c r="EL330" s="190">
        <f t="shared" si="792"/>
        <v>2.6719829672426192E-12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1.8176601445580484E-11</v>
      </c>
      <c r="FA330" s="190">
        <f>FA163*FA$168</f>
        <v>0</v>
      </c>
      <c r="FB330" s="404">
        <f>$C330+SUM($D330:FA330)-SUM(FB$176:FB329)-FB$331</f>
        <v>0</v>
      </c>
    </row>
    <row r="331" spans="2:158" ht="12.75" customHeight="1" x14ac:dyDescent="0.3">
      <c r="B331" s="186" t="s">
        <v>4117</v>
      </c>
      <c r="C331" s="203"/>
      <c r="D331" s="684">
        <f t="shared" ref="D331:J331" si="858">D338</f>
        <v>0</v>
      </c>
      <c r="E331" s="684">
        <f>E338</f>
        <v>7.1693258640734705E-7</v>
      </c>
      <c r="F331" s="684">
        <f t="shared" si="858"/>
        <v>2.0050146324172935E-5</v>
      </c>
      <c r="G331" s="684">
        <f t="shared" si="858"/>
        <v>2.1334085946326341E-12</v>
      </c>
      <c r="H331" s="684">
        <f t="shared" si="858"/>
        <v>0</v>
      </c>
      <c r="I331" s="684">
        <f t="shared" si="858"/>
        <v>0</v>
      </c>
      <c r="J331" s="684">
        <f t="shared" si="858"/>
        <v>0</v>
      </c>
      <c r="K331" s="684">
        <f>K338</f>
        <v>0</v>
      </c>
      <c r="L331" s="204">
        <f t="shared" ref="L331:BN331" si="859">L338</f>
        <v>0</v>
      </c>
      <c r="M331" s="204">
        <f t="shared" si="859"/>
        <v>0</v>
      </c>
      <c r="N331" s="204">
        <f t="shared" si="859"/>
        <v>0</v>
      </c>
      <c r="O331" s="204">
        <f t="shared" si="859"/>
        <v>0</v>
      </c>
      <c r="P331" s="204">
        <f t="shared" si="859"/>
        <v>0</v>
      </c>
      <c r="Q331" s="204">
        <f t="shared" si="859"/>
        <v>0</v>
      </c>
      <c r="R331" s="204">
        <f t="shared" si="859"/>
        <v>0</v>
      </c>
      <c r="S331" s="204">
        <f t="shared" si="859"/>
        <v>0</v>
      </c>
      <c r="T331" s="204">
        <f t="shared" si="859"/>
        <v>0</v>
      </c>
      <c r="U331" s="204">
        <f t="shared" si="859"/>
        <v>0</v>
      </c>
      <c r="V331" s="204">
        <f t="shared" si="859"/>
        <v>0</v>
      </c>
      <c r="W331" s="204">
        <f t="shared" si="859"/>
        <v>0</v>
      </c>
      <c r="X331" s="204">
        <f t="shared" si="859"/>
        <v>1.2179293211375245E-28</v>
      </c>
      <c r="Y331" s="204">
        <f t="shared" si="859"/>
        <v>1.7765576880062901E-14</v>
      </c>
      <c r="Z331" s="204">
        <f t="shared" si="859"/>
        <v>5.9266783446394383E-2</v>
      </c>
      <c r="AA331" s="204">
        <f t="shared" si="859"/>
        <v>0</v>
      </c>
      <c r="AB331" s="204">
        <f t="shared" si="859"/>
        <v>1.8001265195406555E-24</v>
      </c>
      <c r="AC331" s="204">
        <f t="shared" si="859"/>
        <v>3.7379236295417371E-14</v>
      </c>
      <c r="AD331" s="204">
        <f t="shared" si="859"/>
        <v>0.61621130863371842</v>
      </c>
      <c r="AE331" s="204">
        <f t="shared" si="859"/>
        <v>0</v>
      </c>
      <c r="AF331" s="204">
        <f t="shared" si="859"/>
        <v>1.5701894776674776E-30</v>
      </c>
      <c r="AG331" s="204">
        <f t="shared" si="859"/>
        <v>-1.0638148669477961E-3</v>
      </c>
      <c r="AH331" s="204">
        <f t="shared" si="859"/>
        <v>8.3907617677448105E-3</v>
      </c>
      <c r="AI331" s="204">
        <f t="shared" si="859"/>
        <v>0</v>
      </c>
      <c r="AJ331" s="204">
        <f t="shared" si="859"/>
        <v>9.3675248995577771E-10</v>
      </c>
      <c r="AK331" s="204">
        <f t="shared" si="859"/>
        <v>4.8081966487862225E-3</v>
      </c>
      <c r="AL331" s="204">
        <f t="shared" si="859"/>
        <v>0</v>
      </c>
      <c r="AM331" s="204">
        <f t="shared" si="859"/>
        <v>0</v>
      </c>
      <c r="AN331" s="204">
        <f t="shared" si="859"/>
        <v>5.5240939354005901E-8</v>
      </c>
      <c r="AO331" s="204">
        <f t="shared" si="859"/>
        <v>2.742269182233022E-2</v>
      </c>
      <c r="AP331" s="204">
        <f t="shared" si="859"/>
        <v>0</v>
      </c>
      <c r="AQ331" s="204">
        <f t="shared" si="859"/>
        <v>0</v>
      </c>
      <c r="AR331" s="204">
        <f t="shared" si="859"/>
        <v>3.4694536665028799E-10</v>
      </c>
      <c r="AS331" s="204">
        <f t="shared" si="859"/>
        <v>1.7808135736245261E-3</v>
      </c>
      <c r="AT331" s="204">
        <f t="shared" si="859"/>
        <v>0</v>
      </c>
      <c r="AU331" s="204">
        <f t="shared" si="859"/>
        <v>0</v>
      </c>
      <c r="AV331" s="204">
        <f t="shared" si="859"/>
        <v>4.1597615288533193E-9</v>
      </c>
      <c r="AW331" s="204">
        <f t="shared" si="859"/>
        <v>4.4634674583764181E-6</v>
      </c>
      <c r="AX331" s="204">
        <f t="shared" si="859"/>
        <v>2.7574630312332797E-13</v>
      </c>
      <c r="AY331" s="204">
        <f t="shared" si="859"/>
        <v>0</v>
      </c>
      <c r="AZ331" s="204">
        <f t="shared" si="859"/>
        <v>0</v>
      </c>
      <c r="BA331" s="204">
        <f t="shared" si="859"/>
        <v>0</v>
      </c>
      <c r="BB331" s="204">
        <f t="shared" si="859"/>
        <v>0</v>
      </c>
      <c r="BC331" s="204">
        <f t="shared" si="859"/>
        <v>0</v>
      </c>
      <c r="BD331" s="204">
        <f t="shared" si="859"/>
        <v>0</v>
      </c>
      <c r="BE331" s="204">
        <f t="shared" si="859"/>
        <v>0</v>
      </c>
      <c r="BF331" s="204">
        <f t="shared" si="859"/>
        <v>0</v>
      </c>
      <c r="BG331" s="204">
        <f t="shared" si="859"/>
        <v>0</v>
      </c>
      <c r="BH331" s="204">
        <f t="shared" si="859"/>
        <v>0</v>
      </c>
      <c r="BI331" s="204">
        <f t="shared" si="859"/>
        <v>0</v>
      </c>
      <c r="BJ331" s="204">
        <f t="shared" si="859"/>
        <v>0</v>
      </c>
      <c r="BK331" s="204">
        <f t="shared" si="859"/>
        <v>0</v>
      </c>
      <c r="BL331" s="204">
        <f t="shared" si="859"/>
        <v>0</v>
      </c>
      <c r="BM331" s="204">
        <f t="shared" si="859"/>
        <v>0</v>
      </c>
      <c r="BN331" s="204">
        <f t="shared" si="859"/>
        <v>0</v>
      </c>
      <c r="BO331" s="204">
        <f t="shared" ref="BO331:DX331" si="860">BO338</f>
        <v>3.3948446250099867E-31</v>
      </c>
      <c r="BP331" s="204">
        <f t="shared" si="860"/>
        <v>9.6718423106858832E-16</v>
      </c>
      <c r="BQ331" s="204">
        <f t="shared" si="860"/>
        <v>4.5864945761754119E-6</v>
      </c>
      <c r="BR331" s="204">
        <f t="shared" si="860"/>
        <v>0</v>
      </c>
      <c r="BS331" s="204">
        <f t="shared" si="860"/>
        <v>3.1290862285290815E-30</v>
      </c>
      <c r="BT331" s="204">
        <f t="shared" si="860"/>
        <v>1.2476797013115196E-15</v>
      </c>
      <c r="BU331" s="204">
        <f t="shared" si="860"/>
        <v>4.5047974659671748E-5</v>
      </c>
      <c r="BV331" s="204">
        <f t="shared" si="860"/>
        <v>0</v>
      </c>
      <c r="BW331" s="204">
        <f t="shared" si="860"/>
        <v>5.0943088464726097E-32</v>
      </c>
      <c r="BX331" s="204">
        <f t="shared" si="860"/>
        <v>-4.3847036620340178</v>
      </c>
      <c r="BY331" s="204">
        <f t="shared" si="860"/>
        <v>6.6653045146416789E-2</v>
      </c>
      <c r="BZ331" s="204">
        <f t="shared" si="860"/>
        <v>0</v>
      </c>
      <c r="CA331" s="204">
        <f t="shared" si="860"/>
        <v>2.6407580759058054E-12</v>
      </c>
      <c r="CB331" s="204">
        <f t="shared" si="860"/>
        <v>5.0942627919461111E-4</v>
      </c>
      <c r="CC331" s="204">
        <f t="shared" si="860"/>
        <v>0</v>
      </c>
      <c r="CD331" s="204">
        <f t="shared" si="860"/>
        <v>0</v>
      </c>
      <c r="CE331" s="204">
        <f t="shared" si="860"/>
        <v>2.670426196843851E-12</v>
      </c>
      <c r="CF331" s="204">
        <f t="shared" si="860"/>
        <v>1.1321267525304323E-3</v>
      </c>
      <c r="CG331" s="204">
        <f t="shared" si="860"/>
        <v>0</v>
      </c>
      <c r="CH331" s="204">
        <f t="shared" si="860"/>
        <v>0</v>
      </c>
      <c r="CI331" s="204">
        <f t="shared" si="860"/>
        <v>9.7805854663177966E-13</v>
      </c>
      <c r="CJ331" s="204">
        <f t="shared" si="860"/>
        <v>1.8867639970170777E-4</v>
      </c>
      <c r="CK331" s="204">
        <f t="shared" si="860"/>
        <v>0</v>
      </c>
      <c r="CL331" s="204">
        <f t="shared" si="860"/>
        <v>0</v>
      </c>
      <c r="CM331" s="204">
        <f t="shared" si="860"/>
        <v>3.5407398203450795E-12</v>
      </c>
      <c r="CN331" s="204">
        <f t="shared" si="860"/>
        <v>1.4165421556909676E-7</v>
      </c>
      <c r="CO331" s="204">
        <f t="shared" si="860"/>
        <v>5.0161012769185754E-15</v>
      </c>
      <c r="CP331" s="204">
        <f t="shared" si="860"/>
        <v>0</v>
      </c>
      <c r="CQ331" s="204">
        <f t="shared" si="860"/>
        <v>0</v>
      </c>
      <c r="CR331" s="204">
        <f t="shared" si="860"/>
        <v>0</v>
      </c>
      <c r="CS331" s="204">
        <f t="shared" si="860"/>
        <v>0</v>
      </c>
      <c r="CT331" s="204">
        <f t="shared" si="860"/>
        <v>0</v>
      </c>
      <c r="CU331" s="204">
        <f t="shared" si="860"/>
        <v>0</v>
      </c>
      <c r="CV331" s="204">
        <f t="shared" si="860"/>
        <v>0</v>
      </c>
      <c r="CW331" s="204">
        <f t="shared" si="860"/>
        <v>0</v>
      </c>
      <c r="CX331" s="204">
        <f t="shared" si="860"/>
        <v>0</v>
      </c>
      <c r="CY331" s="204">
        <f t="shared" si="860"/>
        <v>0</v>
      </c>
      <c r="CZ331" s="204">
        <f t="shared" si="860"/>
        <v>0</v>
      </c>
      <c r="DA331" s="204">
        <f t="shared" si="860"/>
        <v>0</v>
      </c>
      <c r="DB331" s="204">
        <f t="shared" si="860"/>
        <v>1.5552473860066011E-43</v>
      </c>
      <c r="DC331" s="204">
        <f t="shared" si="860"/>
        <v>-0.14962277233186588</v>
      </c>
      <c r="DD331" s="204">
        <f t="shared" si="860"/>
        <v>3.4076596463202304E-3</v>
      </c>
      <c r="DE331" s="204">
        <f t="shared" si="860"/>
        <v>0</v>
      </c>
      <c r="DF331" s="204">
        <f t="shared" si="860"/>
        <v>8.5968677118449485E-15</v>
      </c>
      <c r="DG331" s="204">
        <f t="shared" si="860"/>
        <v>6.178984279196591E-5</v>
      </c>
      <c r="DH331" s="204">
        <f t="shared" si="860"/>
        <v>0</v>
      </c>
      <c r="DI331" s="204">
        <f t="shared" si="860"/>
        <v>0</v>
      </c>
      <c r="DJ331" s="204">
        <f t="shared" si="860"/>
        <v>9.096510503703707E-16</v>
      </c>
      <c r="DK331" s="204">
        <f t="shared" si="860"/>
        <v>3.0047802550788423E-9</v>
      </c>
      <c r="DL331" s="204">
        <f t="shared" si="860"/>
        <v>6.7677810381924317E-17</v>
      </c>
      <c r="DM331" s="204">
        <f t="shared" si="860"/>
        <v>0</v>
      </c>
      <c r="DN331" s="204">
        <f t="shared" si="860"/>
        <v>0</v>
      </c>
      <c r="DO331" s="204">
        <f t="shared" si="860"/>
        <v>0</v>
      </c>
      <c r="DP331" s="204">
        <f t="shared" si="860"/>
        <v>0</v>
      </c>
      <c r="DQ331" s="204">
        <f t="shared" si="860"/>
        <v>0</v>
      </c>
      <c r="DR331" s="204">
        <f t="shared" si="860"/>
        <v>0</v>
      </c>
      <c r="DS331" s="204">
        <f t="shared" si="860"/>
        <v>0</v>
      </c>
      <c r="DT331" s="204">
        <f t="shared" si="860"/>
        <v>0</v>
      </c>
      <c r="DU331" s="204">
        <f t="shared" si="860"/>
        <v>0</v>
      </c>
      <c r="DV331" s="204">
        <f t="shared" si="860"/>
        <v>0</v>
      </c>
      <c r="DW331" s="204">
        <f t="shared" si="860"/>
        <v>0</v>
      </c>
      <c r="DX331" s="204">
        <f t="shared" si="860"/>
        <v>0</v>
      </c>
      <c r="DY331" s="204">
        <f t="shared" ref="DY331:FB331" si="861">DY338</f>
        <v>1.3816274212596664E-47</v>
      </c>
      <c r="DZ331" s="204">
        <f t="shared" si="861"/>
        <v>-6.9691586450336962E-2</v>
      </c>
      <c r="EA331" s="204">
        <f t="shared" si="861"/>
        <v>1.0202087481792918E-3</v>
      </c>
      <c r="EB331" s="204">
        <f t="shared" si="861"/>
        <v>0</v>
      </c>
      <c r="EC331" s="204">
        <f t="shared" si="861"/>
        <v>3.2662773959679006E-19</v>
      </c>
      <c r="ED331" s="204">
        <f t="shared" si="861"/>
        <v>5.111299227602724E-7</v>
      </c>
      <c r="EE331" s="204">
        <f t="shared" si="861"/>
        <v>0</v>
      </c>
      <c r="EF331" s="204">
        <f t="shared" si="861"/>
        <v>0</v>
      </c>
      <c r="EG331" s="204">
        <f t="shared" si="861"/>
        <v>1.3510141382865265E-15</v>
      </c>
      <c r="EH331" s="204">
        <f t="shared" si="861"/>
        <v>1.3188796261341829E-9</v>
      </c>
      <c r="EI331" s="204">
        <f t="shared" si="861"/>
        <v>2.3744582823697664E-17</v>
      </c>
      <c r="EJ331" s="204">
        <f t="shared" si="861"/>
        <v>0</v>
      </c>
      <c r="EK331" s="204">
        <f t="shared" si="861"/>
        <v>0</v>
      </c>
      <c r="EL331" s="204">
        <f t="shared" si="861"/>
        <v>0</v>
      </c>
      <c r="EM331" s="204">
        <f t="shared" si="861"/>
        <v>0</v>
      </c>
      <c r="EN331" s="204">
        <f t="shared" si="861"/>
        <v>0</v>
      </c>
      <c r="EO331" s="204">
        <f t="shared" si="861"/>
        <v>0</v>
      </c>
      <c r="EP331" s="204">
        <f t="shared" si="861"/>
        <v>0</v>
      </c>
      <c r="EQ331" s="204">
        <f t="shared" si="861"/>
        <v>0</v>
      </c>
      <c r="ER331" s="204">
        <f t="shared" si="861"/>
        <v>0</v>
      </c>
      <c r="ES331" s="204">
        <f t="shared" si="861"/>
        <v>0</v>
      </c>
      <c r="ET331" s="204">
        <f t="shared" si="861"/>
        <v>0</v>
      </c>
      <c r="EU331" s="204">
        <f t="shared" si="861"/>
        <v>0</v>
      </c>
      <c r="EV331" s="204">
        <f t="shared" si="861"/>
        <v>5.6608449706869069E-47</v>
      </c>
      <c r="EW331" s="204">
        <f t="shared" si="861"/>
        <v>-0.15718993085321445</v>
      </c>
      <c r="EX331" s="204">
        <f t="shared" si="861"/>
        <v>5.9109549138861876E-3</v>
      </c>
      <c r="EY331" s="204">
        <f t="shared" si="861"/>
        <v>0</v>
      </c>
      <c r="EZ331" s="204">
        <f t="shared" si="861"/>
        <v>5.7484100121096565E-18</v>
      </c>
      <c r="FA331" s="204">
        <f t="shared" si="861"/>
        <v>5.6150799950443856E-7</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9.6090278738680563</v>
      </c>
      <c r="D335" s="176">
        <f t="shared" ref="D335:AI335" si="862">D5</f>
        <v>0</v>
      </c>
      <c r="E335" s="176">
        <f t="shared" si="862"/>
        <v>3.203009291289352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3.203009291289352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3.203009291289352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-1.0530973094493448E+19</v>
      </c>
      <c r="D336" s="185">
        <f>SUM($D$176:$FB$176)</f>
        <v>0</v>
      </c>
      <c r="E336" s="185">
        <f>SUM($D$177:$FB$177)</f>
        <v>3.4110351368044217E-6</v>
      </c>
      <c r="F336" s="185">
        <f>SUM($D$178:$FB$178)</f>
        <v>3.0954013106625671</v>
      </c>
      <c r="G336" s="185">
        <f>SUM($D$179:$FB$179)</f>
        <v>4.9158708023556941E-7</v>
      </c>
      <c r="H336" s="185">
        <f>SUM($D$180:$FB$180)</f>
        <v>7.1521400359434883E-2</v>
      </c>
      <c r="I336" s="185">
        <f>SUM($D$181:$FB$181)</f>
        <v>2.0003837569645797</v>
      </c>
      <c r="J336" s="185">
        <f>SUM($D$182:$FB$182)</f>
        <v>4.3090011995329544E-7</v>
      </c>
      <c r="K336" s="185">
        <f>SUM($D$183:$FB$183)</f>
        <v>0</v>
      </c>
      <c r="L336" s="185">
        <f>SUM($D$184:$FB$184)</f>
        <v>1.8169912330396335E-4</v>
      </c>
      <c r="M336" s="185">
        <f>SUM($D$185:$FB$185)</f>
        <v>0.42588711658610279</v>
      </c>
      <c r="N336" s="185">
        <f>SUM($D$186:$FB$186)</f>
        <v>6.0155973187367935E-2</v>
      </c>
      <c r="O336" s="185">
        <f>SUM($D$187:$FB$187)</f>
        <v>0</v>
      </c>
      <c r="P336" s="185">
        <f>SUM($D$188:$FB$188)</f>
        <v>1.9986916930853508E-3</v>
      </c>
      <c r="Q336" s="185">
        <f>SUM($D$189:$FB$189)</f>
        <v>8.2746579349471112</v>
      </c>
      <c r="R336" s="185">
        <f>SUM($D$190:$FB$190)</f>
        <v>6.3446911680294358</v>
      </c>
      <c r="S336" s="185">
        <f>SUM($D$191:$FB$191)</f>
        <v>0</v>
      </c>
      <c r="T336" s="185">
        <f>SUM($D$192:$FB$192)</f>
        <v>3.3469191611393398E-4</v>
      </c>
      <c r="U336" s="185">
        <f>SUM($D$193:$FB$193)</f>
        <v>-15625536253500.158</v>
      </c>
      <c r="V336" s="185">
        <f>SUM($D$194:$FB$194)</f>
        <v>0.16710224475114069</v>
      </c>
      <c r="W336" s="185">
        <f>SUM($D$195:$FB$195)</f>
        <v>0</v>
      </c>
      <c r="X336" s="185">
        <f>SUM($D$196:$FB$196)</f>
        <v>5.5761208926152894E-23</v>
      </c>
      <c r="Y336" s="185">
        <f>SUM($D$197:$FB$197)</f>
        <v>1.7765576880062901E-14</v>
      </c>
      <c r="Z336" s="185">
        <f>SUM($D$198:$FB$198)</f>
        <v>5.9266783446394369E-2</v>
      </c>
      <c r="AA336" s="185">
        <f>SUM($D$199:$FB$199)</f>
        <v>0</v>
      </c>
      <c r="AB336" s="185">
        <f>SUM($D$200:$FB$200)</f>
        <v>8.2417950677952985E-19</v>
      </c>
      <c r="AC336" s="185">
        <f>SUM($D$201:$FB$201)</f>
        <v>3.7968883749677025E-13</v>
      </c>
      <c r="AD336" s="185">
        <f>SUM($D$202:$FB$202)</f>
        <v>6.2593187720152628</v>
      </c>
      <c r="AE336" s="185">
        <f>SUM($D$203:$FB$203)</f>
        <v>0</v>
      </c>
      <c r="AF336" s="185">
        <f>SUM($D$204:$FB$204)</f>
        <v>2.2765638183404576E-23</v>
      </c>
      <c r="AG336" s="185">
        <f>SUM($D$205:$FB$205)</f>
        <v>-1.1406712757009855E-2</v>
      </c>
      <c r="AH336" s="185">
        <f>SUM($D$206:$FB$206)</f>
        <v>8.9969610569337916E-2</v>
      </c>
      <c r="AI336" s="185">
        <f>SUM($D$207:$FB$207)</f>
        <v>0</v>
      </c>
      <c r="AJ336" s="185">
        <f>SUM($D$208:$FB$208)</f>
        <v>2.5147706947055735E-2</v>
      </c>
      <c r="AK336" s="185">
        <f>SUM($D$209:$FB$209)</f>
        <v>0.71850411816791848</v>
      </c>
      <c r="AL336" s="185">
        <f>SUM($D$210:$FB$210)</f>
        <v>5.5122019919788927E-3</v>
      </c>
      <c r="AM336" s="185">
        <f>SUM($D$211:$FB$211)</f>
        <v>0</v>
      </c>
      <c r="AN336" s="185">
        <f>SUM($D$212:$FB$212)</f>
        <v>5.5883793215679003E-2</v>
      </c>
      <c r="AO336" s="185">
        <f>SUM($D$213:$FB$213)</f>
        <v>4.0976126524566361</v>
      </c>
      <c r="AP336" s="185">
        <f>SUM($D$214:$FB$214)</f>
        <v>0.71431385148361382</v>
      </c>
      <c r="AQ336" s="185">
        <f>SUM($D$215:$FB$215)</f>
        <v>0</v>
      </c>
      <c r="AR336" s="185">
        <f>SUM($D$216:$FB$216)</f>
        <v>9.3139655359465688E-3</v>
      </c>
      <c r="AS336" s="185">
        <f>SUM($D$217:$FB$217)</f>
        <v>0.26611263635848842</v>
      </c>
      <c r="AT336" s="185">
        <f>SUM($D$218:$FB$218)</f>
        <v>2.0415562933255161E-3</v>
      </c>
      <c r="AU336" s="185">
        <f>SUM($D$219:$FB$219)</f>
        <v>0</v>
      </c>
      <c r="AV336" s="185">
        <f>SUM($D$220:$FB$220)</f>
        <v>1.8436064956775741E-2</v>
      </c>
      <c r="AW336" s="185">
        <f>SUM($D$221:$FB$221)</f>
        <v>0.53358187503823051</v>
      </c>
      <c r="AX336" s="185">
        <f>SUM($D$222:$FB$222)</f>
        <v>5.7713738994622171E-8</v>
      </c>
      <c r="AY336" s="185">
        <f>SUM($D$223:$FB$223)</f>
        <v>4.1447625479104156E-4</v>
      </c>
      <c r="AZ336" s="185">
        <f>SUM($D$224:$FB$224)</f>
        <v>0.44474536032349626</v>
      </c>
      <c r="BA336" s="185">
        <f>SUM($D$225:$FB$225)</f>
        <v>5.5694495368328622E-8</v>
      </c>
      <c r="BB336" s="185">
        <f>SUM($D$226:$FB$226)</f>
        <v>0</v>
      </c>
      <c r="BC336" s="185">
        <f>SUM($D$227:$FB$227)</f>
        <v>5.1019144769293192E-7</v>
      </c>
      <c r="BD336" s="185">
        <f>SUM($D$228:$FB$228)</f>
        <v>2.3185923346407625E-2</v>
      </c>
      <c r="BE336" s="185">
        <f>SUM($D$229:$FB$229)</f>
        <v>4.6553065427950416E-6</v>
      </c>
      <c r="BF336" s="185">
        <f>SUM($D$230:$FB$230)</f>
        <v>0</v>
      </c>
      <c r="BG336" s="185">
        <f>SUM($D$231:$FB$231)</f>
        <v>5.6121096780469855E-6</v>
      </c>
      <c r="BH336" s="185">
        <f>SUM($D$232:$FB$232)</f>
        <v>0.27823102234866137</v>
      </c>
      <c r="BI336" s="185">
        <f>SUM($D$233:$FB$233)</f>
        <v>4.6723850572265291E-4</v>
      </c>
      <c r="BJ336" s="185">
        <f>SUM($D$234:$FB$234)</f>
        <v>0</v>
      </c>
      <c r="BK336" s="185">
        <f>SUM($D$235:$FB$235)</f>
        <v>2.1738275911295252E-4</v>
      </c>
      <c r="BL336" s="185">
        <f>SUM($D$236:$FB$236)</f>
        <v>-2.9846198619196388E+16</v>
      </c>
      <c r="BM336" s="185">
        <f>SUM($D$237:$FB$237)</f>
        <v>0.99938236349496579</v>
      </c>
      <c r="BN336" s="185">
        <f>SUM($D$238:$FB$238)</f>
        <v>0</v>
      </c>
      <c r="BO336" s="185">
        <f>SUM($D$239:$FB$239)</f>
        <v>1.5657143188054911E-25</v>
      </c>
      <c r="BP336" s="185">
        <f>SUM($D$240:$FB$240)</f>
        <v>9.6718423106858832E-16</v>
      </c>
      <c r="BQ336" s="185">
        <f>SUM($D$241:$FB$241)</f>
        <v>4.5864945761754128E-6</v>
      </c>
      <c r="BR336" s="185">
        <f>SUM($D$242:$FB$242)</f>
        <v>0</v>
      </c>
      <c r="BS336" s="185">
        <f>SUM($D$243:$FB$243)</f>
        <v>1.4431744978498354E-24</v>
      </c>
      <c r="BT336" s="185">
        <f>SUM($D$244:$FB$244)</f>
        <v>1.2766829197345974E-14</v>
      </c>
      <c r="BU336" s="185">
        <f>SUM($D$245:$FB$245)</f>
        <v>4.6095147461472076E-4</v>
      </c>
      <c r="BV336" s="185">
        <f>SUM($D$246:$FB$246)</f>
        <v>0</v>
      </c>
      <c r="BW336" s="185">
        <f>SUM($D$247:$FB$247)</f>
        <v>7.3938262181886748E-25</v>
      </c>
      <c r="BX336" s="185">
        <f>SUM($D$248:$FB$248)</f>
        <v>-47.0642235767004</v>
      </c>
      <c r="BY336" s="185">
        <f>SUM($D$249:$FB$249)</f>
        <v>0.71543576502126849</v>
      </c>
      <c r="BZ336" s="185">
        <f>SUM($D$250:$FB$250)</f>
        <v>0</v>
      </c>
      <c r="CA336" s="185">
        <f>SUM($D$251:$FB$251)</f>
        <v>7.0892803513215137E-5</v>
      </c>
      <c r="CB336" s="185">
        <f>SUM($D$252:$FB$252)</f>
        <v>7.6125189180165337E-2</v>
      </c>
      <c r="CC336" s="185">
        <f>SUM($D$253:$FB$253)</f>
        <v>1.5546256681755003E-5</v>
      </c>
      <c r="CD336" s="185">
        <f>SUM($D$254:$FB$254)</f>
        <v>0</v>
      </c>
      <c r="CE336" s="185">
        <f>SUM($D$255:$FB$255)</f>
        <v>1.5753956336270029E-4</v>
      </c>
      <c r="CF336" s="185">
        <f>SUM($D$256:$FB$256)</f>
        <v>0.16916708744018349</v>
      </c>
      <c r="CG336" s="185">
        <f>SUM($D$257:$FB$257)</f>
        <v>3.4547341821311808E-5</v>
      </c>
      <c r="CH336" s="185">
        <f>SUM($D$258:$FB$258)</f>
        <v>0</v>
      </c>
      <c r="CI336" s="185">
        <f>SUM($D$259:$FB$259)</f>
        <v>2.6256593893783372E-5</v>
      </c>
      <c r="CJ336" s="185">
        <f>SUM($D$260:$FB$260)</f>
        <v>2.8194514511172327E-2</v>
      </c>
      <c r="CK336" s="185">
        <f>SUM($D$261:$FB$261)</f>
        <v>5.7578728450944442E-6</v>
      </c>
      <c r="CL336" s="185">
        <f>SUM($D$262:$FB$262)</f>
        <v>0</v>
      </c>
      <c r="CM336" s="185">
        <f>SUM($D$263:$FB$263)</f>
        <v>1.5690678324550583E-5</v>
      </c>
      <c r="CN336" s="185">
        <f>SUM($D$264:$FB$264)</f>
        <v>1.6858645217542472E-2</v>
      </c>
      <c r="CO336" s="185">
        <f>SUM($D$265:$FB$265)</f>
        <v>1.0427831150011234E-9</v>
      </c>
      <c r="CP336" s="185">
        <f>SUM($D$266:$FB$266)</f>
        <v>3.527972865143258E-7</v>
      </c>
      <c r="CQ336" s="185">
        <f>SUM($D$267:$FB$267)</f>
        <v>1.4114599407774415E-2</v>
      </c>
      <c r="CR336" s="185">
        <f>SUM($D$268:$FB$268)</f>
        <v>1.0131386211530119E-9</v>
      </c>
      <c r="CS336" s="185">
        <f>SUM($D$269:$FB$269)</f>
        <v>0</v>
      </c>
      <c r="CT336" s="185">
        <f>SUM($D$270:$FB$270)</f>
        <v>1.7980805786418307E-7</v>
      </c>
      <c r="CU336" s="185">
        <f>SUM($D$271:$FB$271)</f>
        <v>-1.4445101964120837E+18</v>
      </c>
      <c r="CV336" s="185">
        <f>SUM($D$272:$FB$272)</f>
        <v>20.442250140782804</v>
      </c>
      <c r="CW336" s="185">
        <f>SUM($D$273:$FB$273)</f>
        <v>0</v>
      </c>
      <c r="CX336" s="185">
        <f>SUM($D$274:$FB$274)</f>
        <v>3.046982507132483E-12</v>
      </c>
      <c r="CY336" s="185">
        <f>SUM($D$275:$FB$275)</f>
        <v>-1.414679623329141E+18</v>
      </c>
      <c r="CZ336" s="185">
        <f>SUM($D$276:$FB$276)</f>
        <v>31.359951205459826</v>
      </c>
      <c r="DA336" s="185">
        <f>SUM($D$277:$FB$277)</f>
        <v>0</v>
      </c>
      <c r="DB336" s="185">
        <f>SUM($D$278:$FB$278)</f>
        <v>6.9091321169914292E-34</v>
      </c>
      <c r="DC336" s="185">
        <f>SUM($D$279:$FB$279)</f>
        <v>-491.57342693487573</v>
      </c>
      <c r="DD336" s="185">
        <f>SUM($D$280:$FB$280)</f>
        <v>11.195588105090636</v>
      </c>
      <c r="DE336" s="185">
        <f>SUM($D$281:$FB$281)</f>
        <v>0</v>
      </c>
      <c r="DF336" s="185">
        <f>SUM($D$282:$FB$282)</f>
        <v>2.3078829487849919E-7</v>
      </c>
      <c r="DG336" s="185">
        <f>SUM($D$283:$FB$283)</f>
        <v>9.2334527370429315E-3</v>
      </c>
      <c r="DH336" s="185">
        <f>SUM($D$284:$FB$284)</f>
        <v>5.1099523186157504E-8</v>
      </c>
      <c r="DI336" s="185">
        <f>SUM($D$285:$FB$285)</f>
        <v>0</v>
      </c>
      <c r="DJ336" s="185">
        <f>SUM($D$286:$FB$286)</f>
        <v>3.6663635722771423E-9</v>
      </c>
      <c r="DK336" s="185">
        <f>SUM($D$287:$FB$287)</f>
        <v>1.4668366120755582E-4</v>
      </c>
      <c r="DL336" s="185">
        <f>SUM($D$288:$FB$288)</f>
        <v>5.1946458206126586E-12</v>
      </c>
      <c r="DM336" s="185">
        <f>SUM($D$289:$FB$289)</f>
        <v>3.1321660313002762E-11</v>
      </c>
      <c r="DN336" s="185">
        <f>SUM($D$290:$FB$290)</f>
        <v>1.034649970505397E-4</v>
      </c>
      <c r="DO336" s="185">
        <f>SUM($D$291:$FB$291)</f>
        <v>4.8819220708112921E-12</v>
      </c>
      <c r="DP336" s="185">
        <f>SUM($D$292:$FB$292)</f>
        <v>0</v>
      </c>
      <c r="DQ336" s="185">
        <f>SUM($D$293:$FB$293)</f>
        <v>2.0030342441022331E-11</v>
      </c>
      <c r="DR336" s="185">
        <f>SUM($D$294:$FB$294)</f>
        <v>-1.0603378048258604E+18</v>
      </c>
      <c r="DS336" s="185">
        <f>SUM($D$295:$FB$295)</f>
        <v>9.7155287706663511</v>
      </c>
      <c r="DT336" s="185">
        <f>SUM($D$296:$FB$296)</f>
        <v>0</v>
      </c>
      <c r="DU336" s="185">
        <f>SUM($D$297:$FB$297)</f>
        <v>3.7066698253170784E-16</v>
      </c>
      <c r="DV336" s="185">
        <f>SUM($D$298:$FB$298)</f>
        <v>-1.0603378048258604E+18</v>
      </c>
      <c r="DW336" s="185">
        <f>SUM($D$299:$FB$299)</f>
        <v>14.445660209290239</v>
      </c>
      <c r="DX336" s="185">
        <f>SUM($D$300:$FB$300)</f>
        <v>0</v>
      </c>
      <c r="DY336" s="185">
        <f>SUM($D$301:$FB$301)</f>
        <v>8.4916492178524476E-38</v>
      </c>
      <c r="DZ336" s="185">
        <f>SUM($D$302:$FB$302)</f>
        <v>-323.19019478211709</v>
      </c>
      <c r="EA336" s="185">
        <f>SUM($D$303:$FB$303)</f>
        <v>4.7311516473720765</v>
      </c>
      <c r="EB336" s="185">
        <f>SUM($D$304:$FB$304)</f>
        <v>0</v>
      </c>
      <c r="EC336" s="185">
        <f>SUM($D$305:$FB$305)</f>
        <v>2.3128006675395078E-11</v>
      </c>
      <c r="ED336" s="185">
        <f>SUM($D$306:$FB$306)</f>
        <v>7.639819051036105E-5</v>
      </c>
      <c r="EE336" s="185">
        <f>SUM($D$307:$FB$307)</f>
        <v>7.4279853251393443E-12</v>
      </c>
      <c r="EF336" s="185">
        <f>SUM($D$308:$FB$308)</f>
        <v>0</v>
      </c>
      <c r="EG336" s="185">
        <f>SUM($D$309:$FB$309)</f>
        <v>6.3503279862037392E-9</v>
      </c>
      <c r="EH336" s="185">
        <f>SUM($D$310:$FB$310)</f>
        <v>2.5406337051433694E-4</v>
      </c>
      <c r="EI336" s="185">
        <f>SUM($D$311:$FB$311)</f>
        <v>8.9973612235784294E-12</v>
      </c>
      <c r="EJ336" s="185">
        <f>SUM($D$312:$FB$312)</f>
        <v>2.4394582118316178E-10</v>
      </c>
      <c r="EK336" s="185">
        <f>SUM($D$313:$FB$313)</f>
        <v>2.3814707524863742E-4</v>
      </c>
      <c r="EL336" s="185">
        <f>SUM($D$314:$FB$314)</f>
        <v>8.906609890808727E-12</v>
      </c>
      <c r="EM336" s="185">
        <f>SUM($D$315:$FB$315)</f>
        <v>0</v>
      </c>
      <c r="EN336" s="185">
        <f>SUM($D$316:$FB$316)</f>
        <v>1.728292815263524E-10</v>
      </c>
      <c r="EO336" s="185">
        <f>SUM($D$317:$FB$317)</f>
        <v>-2.7606229204725248E+18</v>
      </c>
      <c r="EP336" s="185">
        <f>SUM($D$318:$FB$318)</f>
        <v>64.969258548143856</v>
      </c>
      <c r="EQ336" s="185">
        <f>SUM($D$319:$FB$319)</f>
        <v>0</v>
      </c>
      <c r="ER336" s="185">
        <f>SUM($D$320:$FB$320)</f>
        <v>2.655896865818161E-15</v>
      </c>
      <c r="ES336" s="185">
        <f>SUM($D$321:$FB$321)</f>
        <v>-2.7606229204725258E+18</v>
      </c>
      <c r="ET336" s="185">
        <f>SUM($D$322:$FB$322)</f>
        <v>110.6514321965858</v>
      </c>
      <c r="EU336" s="185">
        <f>SUM($D$323:$FB$323)</f>
        <v>0</v>
      </c>
      <c r="EV336" s="185">
        <f>SUM($D$324:$FB$324)</f>
        <v>5.9862359292628819E-37</v>
      </c>
      <c r="EW336" s="185">
        <f>SUM($D$325:$FB$325)</f>
        <v>-1214.8253237659271</v>
      </c>
      <c r="EX336" s="190">
        <f>SUM($D$326:$FB$326)</f>
        <v>45.682173648470339</v>
      </c>
      <c r="EY336" s="185">
        <f>SUM($D$327:$FB$327)</f>
        <v>0</v>
      </c>
      <c r="EZ336" s="185">
        <f>SUM($D$328:$FB$328)</f>
        <v>8.5945803695468642E-11</v>
      </c>
      <c r="FA336" s="185">
        <f>SUM($D$329:$FB$329)</f>
        <v>8.390273757564929E-5</v>
      </c>
      <c r="FB336" s="192">
        <f>SUM($D$330:$FB$330)</f>
        <v>2.0868029877469427E-11</v>
      </c>
    </row>
    <row r="337" spans="2:158" ht="12.75" customHeight="1" x14ac:dyDescent="0.3">
      <c r="B337" s="188" t="s">
        <v>4120</v>
      </c>
      <c r="C337" s="176">
        <f>SUM(D337:EY337)</f>
        <v>-1.0530973094493448E+19</v>
      </c>
      <c r="D337" s="176">
        <f t="shared" ref="D337:AI337" si="867">SUM(D176:D330)</f>
        <v>0</v>
      </c>
      <c r="E337" s="176">
        <f t="shared" si="867"/>
        <v>3.2030119853919023</v>
      </c>
      <c r="F337" s="176">
        <f t="shared" si="867"/>
        <v>3.0953812605162434</v>
      </c>
      <c r="G337" s="176">
        <f t="shared" si="867"/>
        <v>4.9158494682697479E-7</v>
      </c>
      <c r="H337" s="176">
        <f t="shared" si="867"/>
        <v>7.152140035943487E-2</v>
      </c>
      <c r="I337" s="176">
        <f t="shared" si="867"/>
        <v>2.0003837569645788</v>
      </c>
      <c r="J337" s="176">
        <f t="shared" si="867"/>
        <v>4.3090011995329522E-7</v>
      </c>
      <c r="K337" s="176">
        <f t="shared" si="867"/>
        <v>0</v>
      </c>
      <c r="L337" s="176">
        <f t="shared" si="867"/>
        <v>1.8169912330396335E-4</v>
      </c>
      <c r="M337" s="176">
        <f t="shared" si="867"/>
        <v>0.42588711658610268</v>
      </c>
      <c r="N337" s="176">
        <f>SUM(N176:N330)</f>
        <v>6.0155973187367935E-2</v>
      </c>
      <c r="O337" s="176">
        <f t="shared" si="867"/>
        <v>0</v>
      </c>
      <c r="P337" s="176">
        <f t="shared" si="867"/>
        <v>3.2050079829824369</v>
      </c>
      <c r="Q337" s="176">
        <f t="shared" si="867"/>
        <v>8.2746579349471094</v>
      </c>
      <c r="R337" s="176">
        <f t="shared" si="867"/>
        <v>6.3446911680294367</v>
      </c>
      <c r="S337" s="176">
        <f t="shared" si="867"/>
        <v>0</v>
      </c>
      <c r="T337" s="176">
        <f t="shared" si="867"/>
        <v>3.3469191611393398E-4</v>
      </c>
      <c r="U337" s="176">
        <f t="shared" si="867"/>
        <v>-15625536253500.158</v>
      </c>
      <c r="V337" s="176">
        <f t="shared" si="867"/>
        <v>0.16710224475114069</v>
      </c>
      <c r="W337" s="176">
        <f t="shared" si="867"/>
        <v>0</v>
      </c>
      <c r="X337" s="176">
        <f t="shared" si="867"/>
        <v>5.5761087133220786E-23</v>
      </c>
      <c r="Y337" s="176">
        <f t="shared" si="867"/>
        <v>0</v>
      </c>
      <c r="Z337" s="176">
        <f t="shared" si="867"/>
        <v>0</v>
      </c>
      <c r="AA337" s="176">
        <f t="shared" si="867"/>
        <v>0</v>
      </c>
      <c r="AB337" s="176">
        <f t="shared" si="867"/>
        <v>8.2417770665301057E-19</v>
      </c>
      <c r="AC337" s="176">
        <f t="shared" si="867"/>
        <v>3.4230960120135292E-13</v>
      </c>
      <c r="AD337" s="176">
        <f t="shared" si="867"/>
        <v>5.6431074633815426</v>
      </c>
      <c r="AE337" s="176">
        <f t="shared" si="867"/>
        <v>0</v>
      </c>
      <c r="AF337" s="176">
        <f t="shared" si="867"/>
        <v>2.2765636613215104E-23</v>
      </c>
      <c r="AG337" s="176">
        <f t="shared" si="867"/>
        <v>-1.0342897890062056E-2</v>
      </c>
      <c r="AH337" s="176">
        <f t="shared" si="867"/>
        <v>8.1578848801593093E-2</v>
      </c>
      <c r="AI337" s="176">
        <f t="shared" si="867"/>
        <v>0</v>
      </c>
      <c r="AJ337" s="176">
        <f t="shared" ref="AJ337:BO337" si="868">SUM(AJ176:AJ330)</f>
        <v>2.5147706010303247E-2</v>
      </c>
      <c r="AK337" s="176">
        <f t="shared" si="868"/>
        <v>0.71369592151913253</v>
      </c>
      <c r="AL337" s="176">
        <f t="shared" si="868"/>
        <v>5.5122019919788936E-3</v>
      </c>
      <c r="AM337" s="176">
        <f t="shared" si="868"/>
        <v>0</v>
      </c>
      <c r="AN337" s="176">
        <f t="shared" si="868"/>
        <v>3.2588930292640921</v>
      </c>
      <c r="AO337" s="176">
        <f t="shared" si="868"/>
        <v>4.0701899606343055</v>
      </c>
      <c r="AP337" s="176">
        <f t="shared" si="868"/>
        <v>0.71431385148361382</v>
      </c>
      <c r="AQ337" s="176">
        <f t="shared" si="868"/>
        <v>0</v>
      </c>
      <c r="AR337" s="176">
        <f t="shared" si="868"/>
        <v>9.3139651890012023E-3</v>
      </c>
      <c r="AS337" s="176">
        <f t="shared" si="868"/>
        <v>0.26433182278486389</v>
      </c>
      <c r="AT337" s="176">
        <f t="shared" si="868"/>
        <v>2.0415562933255161E-3</v>
      </c>
      <c r="AU337" s="176">
        <f t="shared" si="868"/>
        <v>0</v>
      </c>
      <c r="AV337" s="176">
        <f t="shared" si="868"/>
        <v>1.8436060797014212E-2</v>
      </c>
      <c r="AW337" s="176">
        <f t="shared" si="868"/>
        <v>0.5335774115707721</v>
      </c>
      <c r="AX337" s="176">
        <f t="shared" si="868"/>
        <v>5.7713463248319058E-8</v>
      </c>
      <c r="AY337" s="176">
        <f t="shared" si="868"/>
        <v>4.1447625479104156E-4</v>
      </c>
      <c r="AZ337" s="176">
        <f t="shared" si="868"/>
        <v>0.44474536032349626</v>
      </c>
      <c r="BA337" s="176">
        <f t="shared" si="868"/>
        <v>5.5694495368328622E-8</v>
      </c>
      <c r="BB337" s="176">
        <f t="shared" si="868"/>
        <v>0</v>
      </c>
      <c r="BC337" s="176">
        <f t="shared" si="868"/>
        <v>5.1019144769293203E-7</v>
      </c>
      <c r="BD337" s="176">
        <f t="shared" si="868"/>
        <v>2.3185923346407625E-2</v>
      </c>
      <c r="BE337" s="176">
        <f t="shared" si="868"/>
        <v>4.6553065427950416E-6</v>
      </c>
      <c r="BF337" s="176">
        <f t="shared" si="868"/>
        <v>0</v>
      </c>
      <c r="BG337" s="176">
        <f t="shared" si="868"/>
        <v>5.6121096780469864E-6</v>
      </c>
      <c r="BH337" s="176">
        <f t="shared" si="868"/>
        <v>0.27823102234866137</v>
      </c>
      <c r="BI337" s="176">
        <f t="shared" si="868"/>
        <v>4.6723850572265307E-4</v>
      </c>
      <c r="BJ337" s="176">
        <f t="shared" si="868"/>
        <v>0</v>
      </c>
      <c r="BK337" s="176">
        <f t="shared" si="868"/>
        <v>2.1738275911295255E-4</v>
      </c>
      <c r="BL337" s="176">
        <f t="shared" si="868"/>
        <v>-2.9846198619196388E+16</v>
      </c>
      <c r="BM337" s="176">
        <f t="shared" si="868"/>
        <v>0.99938236349496556</v>
      </c>
      <c r="BN337" s="176">
        <f t="shared" si="868"/>
        <v>0</v>
      </c>
      <c r="BO337" s="176">
        <f t="shared" si="868"/>
        <v>1.5657109239608659E-25</v>
      </c>
      <c r="BP337" s="176">
        <f t="shared" ref="BP337:CU337" si="869">SUM(BP176:BP330)</f>
        <v>0</v>
      </c>
      <c r="BQ337" s="176">
        <f t="shared" si="869"/>
        <v>0</v>
      </c>
      <c r="BR337" s="176">
        <f t="shared" si="869"/>
        <v>0</v>
      </c>
      <c r="BS337" s="176">
        <f t="shared" si="869"/>
        <v>1.4431713687636073E-24</v>
      </c>
      <c r="BT337" s="176">
        <f t="shared" si="869"/>
        <v>1.1519149496034454E-14</v>
      </c>
      <c r="BU337" s="176">
        <f t="shared" si="869"/>
        <v>4.1590349995504884E-4</v>
      </c>
      <c r="BV337" s="176">
        <f t="shared" si="869"/>
        <v>0</v>
      </c>
      <c r="BW337" s="176">
        <f t="shared" si="869"/>
        <v>7.3938257087577893E-25</v>
      </c>
      <c r="BX337" s="176">
        <f t="shared" si="869"/>
        <v>-42.679519914666386</v>
      </c>
      <c r="BY337" s="176">
        <f t="shared" si="869"/>
        <v>0.64878271987485181</v>
      </c>
      <c r="BZ337" s="176">
        <f t="shared" si="869"/>
        <v>0</v>
      </c>
      <c r="CA337" s="176">
        <f t="shared" si="869"/>
        <v>7.0892800872457054E-5</v>
      </c>
      <c r="CB337" s="176">
        <f t="shared" si="869"/>
        <v>7.5615762900970718E-2</v>
      </c>
      <c r="CC337" s="176">
        <f t="shared" si="869"/>
        <v>1.5546256681755007E-5</v>
      </c>
      <c r="CD337" s="176">
        <f t="shared" si="869"/>
        <v>0</v>
      </c>
      <c r="CE337" s="176">
        <f t="shared" si="869"/>
        <v>1.5753956069227407E-4</v>
      </c>
      <c r="CF337" s="176">
        <f t="shared" si="869"/>
        <v>0.16803496068765306</v>
      </c>
      <c r="CG337" s="176">
        <f t="shared" si="869"/>
        <v>3.4547341821311808E-5</v>
      </c>
      <c r="CH337" s="176">
        <f t="shared" si="869"/>
        <v>0</v>
      </c>
      <c r="CI337" s="176">
        <f t="shared" si="869"/>
        <v>2.6256592915724826E-5</v>
      </c>
      <c r="CJ337" s="176">
        <f t="shared" si="869"/>
        <v>2.8005838111470623E-2</v>
      </c>
      <c r="CK337" s="176">
        <f t="shared" si="869"/>
        <v>5.7578728450944451E-6</v>
      </c>
      <c r="CL337" s="176">
        <f t="shared" si="869"/>
        <v>0</v>
      </c>
      <c r="CM337" s="176">
        <f t="shared" si="869"/>
        <v>1.5690674783810765E-5</v>
      </c>
      <c r="CN337" s="176">
        <f t="shared" si="869"/>
        <v>1.6858503563326903E-2</v>
      </c>
      <c r="CO337" s="176">
        <f t="shared" si="869"/>
        <v>1.0427780988998467E-9</v>
      </c>
      <c r="CP337" s="176">
        <f t="shared" si="869"/>
        <v>3.527972865143257E-7</v>
      </c>
      <c r="CQ337" s="176">
        <f t="shared" si="869"/>
        <v>1.4114599407774413E-2</v>
      </c>
      <c r="CR337" s="176">
        <f t="shared" si="869"/>
        <v>1.0131386211530117E-9</v>
      </c>
      <c r="CS337" s="176">
        <f t="shared" si="869"/>
        <v>0</v>
      </c>
      <c r="CT337" s="176">
        <f t="shared" si="869"/>
        <v>1.7980805786418313E-7</v>
      </c>
      <c r="CU337" s="176">
        <f t="shared" si="869"/>
        <v>-1.4445101964120832E+18</v>
      </c>
      <c r="CV337" s="176">
        <f t="shared" ref="CV337:EA337" si="870">SUM(CV176:CV330)</f>
        <v>20.442250140782804</v>
      </c>
      <c r="CW337" s="176">
        <f t="shared" si="870"/>
        <v>0</v>
      </c>
      <c r="CX337" s="176">
        <f t="shared" si="870"/>
        <v>3.0469825071324826E-12</v>
      </c>
      <c r="CY337" s="176">
        <f t="shared" si="870"/>
        <v>-1.414679623329141E+18</v>
      </c>
      <c r="CZ337" s="176">
        <f t="shared" si="870"/>
        <v>31.359951205459826</v>
      </c>
      <c r="DA337" s="176">
        <f t="shared" si="870"/>
        <v>0</v>
      </c>
      <c r="DB337" s="176">
        <f t="shared" si="870"/>
        <v>6.9091321154361829E-34</v>
      </c>
      <c r="DC337" s="176">
        <f t="shared" si="870"/>
        <v>-491.42380416254389</v>
      </c>
      <c r="DD337" s="176">
        <f t="shared" si="870"/>
        <v>11.192180445444317</v>
      </c>
      <c r="DE337" s="176">
        <f t="shared" si="870"/>
        <v>0</v>
      </c>
      <c r="DF337" s="176">
        <f t="shared" si="870"/>
        <v>2.3078828628163149E-7</v>
      </c>
      <c r="DG337" s="176">
        <f t="shared" si="870"/>
        <v>9.1716628942509672E-3</v>
      </c>
      <c r="DH337" s="176">
        <f t="shared" si="870"/>
        <v>5.1099523186157517E-8</v>
      </c>
      <c r="DI337" s="176">
        <f t="shared" si="870"/>
        <v>0</v>
      </c>
      <c r="DJ337" s="176">
        <f t="shared" si="870"/>
        <v>3.6663626626260921E-9</v>
      </c>
      <c r="DK337" s="176">
        <f t="shared" si="870"/>
        <v>1.4668065642730075E-4</v>
      </c>
      <c r="DL337" s="176">
        <f t="shared" si="870"/>
        <v>5.1945781428022766E-12</v>
      </c>
      <c r="DM337" s="176">
        <f t="shared" si="870"/>
        <v>3.1321660313002756E-11</v>
      </c>
      <c r="DN337" s="176">
        <f t="shared" si="870"/>
        <v>1.034649970505397E-4</v>
      </c>
      <c r="DO337" s="176">
        <f t="shared" si="870"/>
        <v>4.8819220708112913E-12</v>
      </c>
      <c r="DP337" s="176">
        <f t="shared" si="870"/>
        <v>0</v>
      </c>
      <c r="DQ337" s="176">
        <f t="shared" si="870"/>
        <v>2.0030342441022324E-11</v>
      </c>
      <c r="DR337" s="176">
        <f t="shared" si="870"/>
        <v>-1.0603378048258602E+18</v>
      </c>
      <c r="DS337" s="176">
        <f t="shared" si="870"/>
        <v>9.7155287706663493</v>
      </c>
      <c r="DT337" s="176">
        <f t="shared" si="870"/>
        <v>0</v>
      </c>
      <c r="DU337" s="176">
        <f t="shared" si="870"/>
        <v>3.7066698253170779E-16</v>
      </c>
      <c r="DV337" s="176">
        <f t="shared" si="870"/>
        <v>-1.0603378048258605E+18</v>
      </c>
      <c r="DW337" s="176">
        <f t="shared" si="870"/>
        <v>14.445660209290242</v>
      </c>
      <c r="DX337" s="176">
        <f t="shared" si="870"/>
        <v>0</v>
      </c>
      <c r="DY337" s="176">
        <f t="shared" si="870"/>
        <v>8.4916492164708183E-38</v>
      </c>
      <c r="DZ337" s="176">
        <f t="shared" si="870"/>
        <v>-323.12050319566669</v>
      </c>
      <c r="EA337" s="176">
        <f t="shared" si="870"/>
        <v>4.7301314386238964</v>
      </c>
      <c r="EB337" s="176">
        <f t="shared" ref="EB337:FB337" si="871">SUM(EB176:EB330)</f>
        <v>0</v>
      </c>
      <c r="EC337" s="176">
        <f t="shared" si="871"/>
        <v>2.3128006348767342E-11</v>
      </c>
      <c r="ED337" s="176">
        <f t="shared" si="871"/>
        <v>7.5887060587600773E-5</v>
      </c>
      <c r="EE337" s="176">
        <f t="shared" si="871"/>
        <v>7.4279853251393443E-12</v>
      </c>
      <c r="EF337" s="176">
        <f t="shared" si="871"/>
        <v>0</v>
      </c>
      <c r="EG337" s="176">
        <f t="shared" si="871"/>
        <v>6.3503266351896005E-9</v>
      </c>
      <c r="EH337" s="176">
        <f t="shared" si="871"/>
        <v>2.5406205163471077E-4</v>
      </c>
      <c r="EI337" s="176">
        <f t="shared" si="871"/>
        <v>8.9973374789956037E-12</v>
      </c>
      <c r="EJ337" s="176">
        <f t="shared" si="871"/>
        <v>2.4394582118316173E-10</v>
      </c>
      <c r="EK337" s="176">
        <f t="shared" si="871"/>
        <v>2.3814707524863742E-4</v>
      </c>
      <c r="EL337" s="176">
        <f t="shared" si="871"/>
        <v>8.906609890808727E-12</v>
      </c>
      <c r="EM337" s="176">
        <f t="shared" si="871"/>
        <v>0</v>
      </c>
      <c r="EN337" s="176">
        <f t="shared" si="871"/>
        <v>1.728292815263524E-10</v>
      </c>
      <c r="EO337" s="176">
        <f t="shared" si="871"/>
        <v>-2.7606229204725248E+18</v>
      </c>
      <c r="EP337" s="176">
        <f t="shared" si="871"/>
        <v>64.969258548143856</v>
      </c>
      <c r="EQ337" s="176">
        <f t="shared" si="871"/>
        <v>0</v>
      </c>
      <c r="ER337" s="176">
        <f t="shared" si="871"/>
        <v>2.655896865818161E-15</v>
      </c>
      <c r="ES337" s="176">
        <f t="shared" si="871"/>
        <v>-2.7606229204725258E+18</v>
      </c>
      <c r="ET337" s="176">
        <f t="shared" si="871"/>
        <v>110.65143219658583</v>
      </c>
      <c r="EU337" s="176">
        <f t="shared" si="871"/>
        <v>0</v>
      </c>
      <c r="EV337" s="176">
        <f t="shared" si="871"/>
        <v>5.9862359286967987E-37</v>
      </c>
      <c r="EW337" s="176">
        <f t="shared" si="871"/>
        <v>-1214.6681338350738</v>
      </c>
      <c r="EX337" s="176">
        <f t="shared" si="871"/>
        <v>45.676262693556446</v>
      </c>
      <c r="EY337" s="176">
        <f t="shared" si="871"/>
        <v>0</v>
      </c>
      <c r="EZ337" s="176">
        <f t="shared" si="871"/>
        <v>8.5945797947058633E-11</v>
      </c>
      <c r="FA337" s="176">
        <f t="shared" si="871"/>
        <v>8.3341229576144852E-5</v>
      </c>
      <c r="FB337" s="206">
        <f t="shared" si="871"/>
        <v>2.0868029877469427E-11</v>
      </c>
    </row>
    <row r="338" spans="2:158" ht="12.75" customHeight="1" x14ac:dyDescent="0.3">
      <c r="B338" s="207" t="s">
        <v>4121</v>
      </c>
      <c r="C338" s="176">
        <f>SUM(D338:EY338)</f>
        <v>-3.9654317400946493</v>
      </c>
      <c r="D338" s="176">
        <f>k.aRG*D168</f>
        <v>0</v>
      </c>
      <c r="E338" s="176">
        <f>k.aRS*E168</f>
        <v>7.1693258640734705E-7</v>
      </c>
      <c r="F338" s="176">
        <f>k.aRA*F168</f>
        <v>2.0050146324172935E-5</v>
      </c>
      <c r="G338" s="176">
        <f>k.aRP*G168</f>
        <v>2.1334085946326341E-12</v>
      </c>
      <c r="H338" s="176">
        <v>0</v>
      </c>
      <c r="I338" s="176">
        <v>0</v>
      </c>
      <c r="J338" s="176">
        <v>0</v>
      </c>
      <c r="K338" s="176">
        <f>k.w0RD*K168</f>
        <v>0</v>
      </c>
      <c r="L338" s="176">
        <f>k.w0RS*L168</f>
        <v>0</v>
      </c>
      <c r="M338" s="176">
        <f>k.w0RA*M168</f>
        <v>0</v>
      </c>
      <c r="N338" s="176">
        <f>k.w0RP*N168</f>
        <v>0</v>
      </c>
      <c r="O338" s="176">
        <f>k.w1RD*O168</f>
        <v>0</v>
      </c>
      <c r="P338" s="176">
        <f>k.w1RS*P168</f>
        <v>0</v>
      </c>
      <c r="Q338" s="176">
        <f>k.w1RA*Q168</f>
        <v>0</v>
      </c>
      <c r="R338" s="176">
        <f>k.w1RP*R168</f>
        <v>0</v>
      </c>
      <c r="S338" s="176">
        <f>k.w2RD*S168</f>
        <v>0</v>
      </c>
      <c r="T338" s="176">
        <f>k.w2RS*T168</f>
        <v>0</v>
      </c>
      <c r="U338" s="176">
        <f>k.w2RA*U168</f>
        <v>0</v>
      </c>
      <c r="V338" s="176">
        <f>k.w2RP*V168</f>
        <v>0</v>
      </c>
      <c r="W338" s="176">
        <f>k.sd0RD*W168</f>
        <v>0</v>
      </c>
      <c r="X338" s="176">
        <f>k.sd0RS*X168</f>
        <v>1.2179293211375245E-28</v>
      </c>
      <c r="Y338" s="176">
        <f>k.sd0RA*Y168</f>
        <v>1.7765576880062901E-14</v>
      </c>
      <c r="Z338" s="176">
        <f>k.sd0RP*Z168</f>
        <v>5.9266783446394383E-2</v>
      </c>
      <c r="AA338" s="176">
        <f>k.sd1RD*AA168</f>
        <v>0</v>
      </c>
      <c r="AB338" s="176">
        <f>k.sd1RS*AB168</f>
        <v>1.8001265195406555E-24</v>
      </c>
      <c r="AC338" s="176">
        <f>k.sd1RA*AC168</f>
        <v>3.7379236295417371E-14</v>
      </c>
      <c r="AD338" s="176">
        <f>k.sd1RP*AD168</f>
        <v>0.61621130863371842</v>
      </c>
      <c r="AE338" s="176">
        <f>k.sd2RD*AE168</f>
        <v>0</v>
      </c>
      <c r="AF338" s="176">
        <f>k.sd2RS*AF168</f>
        <v>1.5701894776674776E-30</v>
      </c>
      <c r="AG338" s="176">
        <f>k.sd2RA*AG168</f>
        <v>-1.0638148669477961E-3</v>
      </c>
      <c r="AH338" s="176">
        <f>k.sd2RP*AH168</f>
        <v>8.3907617677448105E-3</v>
      </c>
      <c r="AI338" s="176">
        <f>k.s1RD*AI168</f>
        <v>0</v>
      </c>
      <c r="AJ338" s="176">
        <f>k.s1RS*AJ168</f>
        <v>9.3675248995577771E-10</v>
      </c>
      <c r="AK338" s="176">
        <f>k.s1RA*AK168</f>
        <v>4.8081966487862225E-3</v>
      </c>
      <c r="AL338" s="176">
        <f>k.s1RP*AL168</f>
        <v>0</v>
      </c>
      <c r="AM338" s="176">
        <f>k.s2RD*AM168</f>
        <v>0</v>
      </c>
      <c r="AN338" s="176">
        <f>k.s2RS*AN168</f>
        <v>5.5240939354005901E-8</v>
      </c>
      <c r="AO338" s="176">
        <f>k.s2RA*AO168</f>
        <v>2.742269182233022E-2</v>
      </c>
      <c r="AP338" s="176">
        <f>k.s2RP*AP168</f>
        <v>0</v>
      </c>
      <c r="AQ338" s="176">
        <f>k.s3RD*AQ168</f>
        <v>0</v>
      </c>
      <c r="AR338" s="176">
        <f>k.s3RS*AR168</f>
        <v>3.4694536665028799E-10</v>
      </c>
      <c r="AS338" s="176">
        <f>k.s3RA*AS168</f>
        <v>1.7808135736245261E-3</v>
      </c>
      <c r="AT338" s="176">
        <f>k.s3RP*AT168</f>
        <v>0</v>
      </c>
      <c r="AU338" s="176">
        <f>k.aC*AU168</f>
        <v>0</v>
      </c>
      <c r="AV338" s="176">
        <f>k.aCS*AV168</f>
        <v>4.1597615288533193E-9</v>
      </c>
      <c r="AW338" s="176">
        <f>k.aCA*AW168</f>
        <v>4.4634674583764181E-6</v>
      </c>
      <c r="AX338" s="176">
        <f>k.aCP*AX168</f>
        <v>2.7574630312332797E-13</v>
      </c>
      <c r="AY338" s="176">
        <v>0</v>
      </c>
      <c r="AZ338" s="176">
        <v>0</v>
      </c>
      <c r="BA338" s="176">
        <v>0</v>
      </c>
      <c r="BB338" s="176">
        <f>k.w0C*BB168</f>
        <v>0</v>
      </c>
      <c r="BC338" s="176">
        <f>k.w0CS*BC168</f>
        <v>0</v>
      </c>
      <c r="BD338" s="176">
        <f>k.w0CA*BD168</f>
        <v>0</v>
      </c>
      <c r="BE338" s="176">
        <f>k.w0CP*BE168</f>
        <v>0</v>
      </c>
      <c r="BF338" s="176">
        <f>k.w1C*BF168</f>
        <v>0</v>
      </c>
      <c r="BG338" s="176">
        <f>k.w1CS*BG168</f>
        <v>0</v>
      </c>
      <c r="BH338" s="176">
        <f>k.w1CA*BH168</f>
        <v>0</v>
      </c>
      <c r="BI338" s="176">
        <f>k.w1CP*BI168</f>
        <v>0</v>
      </c>
      <c r="BJ338" s="176">
        <f>k.w2C*BJ168</f>
        <v>0</v>
      </c>
      <c r="BK338" s="176">
        <f>k.w2CS*BK168</f>
        <v>0</v>
      </c>
      <c r="BL338" s="176">
        <f>k.w2CA*BL168</f>
        <v>0</v>
      </c>
      <c r="BM338" s="176">
        <f>k.w2CP*BM168</f>
        <v>0</v>
      </c>
      <c r="BN338" s="176">
        <f>k.sd0CD*BN168</f>
        <v>0</v>
      </c>
      <c r="BO338" s="176">
        <f>k.sd0CS*BO168</f>
        <v>3.3948446250099867E-31</v>
      </c>
      <c r="BP338" s="176">
        <f>k.sd0CA*BP168</f>
        <v>9.6718423106858832E-16</v>
      </c>
      <c r="BQ338" s="176">
        <f>k.sd0CP*BQ168</f>
        <v>4.5864945761754119E-6</v>
      </c>
      <c r="BR338" s="176">
        <f>k.sd1C*BR168</f>
        <v>0</v>
      </c>
      <c r="BS338" s="176">
        <f>k.sd1CS*BS168</f>
        <v>3.1290862285290815E-30</v>
      </c>
      <c r="BT338" s="176">
        <f>k.sd1CA*BT168</f>
        <v>1.2476797013115196E-15</v>
      </c>
      <c r="BU338" s="176">
        <f>k.sd1CP*BU168</f>
        <v>4.5047974659671748E-5</v>
      </c>
      <c r="BV338" s="176">
        <f>k.sd2C*BV168</f>
        <v>0</v>
      </c>
      <c r="BW338" s="176">
        <f>k.sd2CS*BW168</f>
        <v>5.0943088464726097E-32</v>
      </c>
      <c r="BX338" s="176">
        <f>k.sd2CA*BX168</f>
        <v>-4.3847036620340178</v>
      </c>
      <c r="BY338" s="176">
        <f>k.sd2CP*BY168</f>
        <v>6.6653045146416789E-2</v>
      </c>
      <c r="BZ338" s="176">
        <f>k.s1C*BZ168</f>
        <v>0</v>
      </c>
      <c r="CA338" s="176">
        <f>k.s1CS*CA168</f>
        <v>2.6407580759058054E-12</v>
      </c>
      <c r="CB338" s="176">
        <f>k.s1CA*CB168</f>
        <v>5.0942627919461111E-4</v>
      </c>
      <c r="CC338" s="176">
        <f>k.s1CP*CC168</f>
        <v>0</v>
      </c>
      <c r="CD338" s="176">
        <f>k.s2C*CD168</f>
        <v>0</v>
      </c>
      <c r="CE338" s="176">
        <f>k.s2CS*CE168</f>
        <v>2.670426196843851E-12</v>
      </c>
      <c r="CF338" s="176">
        <f>k.s2CA*CF168</f>
        <v>1.1321267525304323E-3</v>
      </c>
      <c r="CG338" s="176">
        <f>k.s2CP*CG168</f>
        <v>0</v>
      </c>
      <c r="CH338" s="176">
        <f>k.s3C*CH168</f>
        <v>0</v>
      </c>
      <c r="CI338" s="176">
        <f>k.s3CS*CI168</f>
        <v>9.7805854663177966E-13</v>
      </c>
      <c r="CJ338" s="176">
        <f>k.s3CA*CJ168</f>
        <v>1.8867639970170777E-4</v>
      </c>
      <c r="CK338" s="176">
        <f>k.s3CP*CK168</f>
        <v>0</v>
      </c>
      <c r="CL338" s="176">
        <f>k.aM*CL168</f>
        <v>0</v>
      </c>
      <c r="CM338" s="176">
        <f>k.aMS*CM168</f>
        <v>3.5407398203450795E-12</v>
      </c>
      <c r="CN338" s="176">
        <f>k.aMA*CN168</f>
        <v>1.4165421556909676E-7</v>
      </c>
      <c r="CO338" s="176">
        <f>k.aMP*CO168</f>
        <v>5.0161012769185754E-15</v>
      </c>
      <c r="CP338" s="176">
        <v>0</v>
      </c>
      <c r="CQ338" s="176">
        <v>0</v>
      </c>
      <c r="CR338" s="176">
        <v>0</v>
      </c>
      <c r="CS338" s="176">
        <f>k.w2M*CS168</f>
        <v>0</v>
      </c>
      <c r="CT338" s="176">
        <f>k.w2MS*CT168</f>
        <v>0</v>
      </c>
      <c r="CU338" s="176">
        <f>k.w2MA*CU168</f>
        <v>0</v>
      </c>
      <c r="CV338" s="176">
        <f>k.w2MP*CV168</f>
        <v>0</v>
      </c>
      <c r="CW338" s="176">
        <f>k.w3M*CW168</f>
        <v>0</v>
      </c>
      <c r="CX338" s="176">
        <f>k.w3MS*CX168</f>
        <v>0</v>
      </c>
      <c r="CY338" s="176">
        <f>k.w3MA*CY168</f>
        <v>0</v>
      </c>
      <c r="CZ338" s="176">
        <f>k.w3MP*CZ168</f>
        <v>0</v>
      </c>
      <c r="DA338" s="176">
        <f>k.sdM*DA168</f>
        <v>0</v>
      </c>
      <c r="DB338" s="176">
        <f>k.sdMS*DB168</f>
        <v>1.5552473860066011E-43</v>
      </c>
      <c r="DC338" s="176">
        <f>k.sdMA*DC168</f>
        <v>-0.14962277233186588</v>
      </c>
      <c r="DD338" s="176">
        <f>k.sdMP*DD168</f>
        <v>3.4076596463202304E-3</v>
      </c>
      <c r="DE338" s="176">
        <f>k.sM*DE168</f>
        <v>0</v>
      </c>
      <c r="DF338" s="176">
        <f>k.sMS*DF168</f>
        <v>8.5968677118449485E-15</v>
      </c>
      <c r="DG338" s="176">
        <f>k.sMA*DG168</f>
        <v>6.178984279196591E-5</v>
      </c>
      <c r="DH338" s="176">
        <f>k.sMP*DH168</f>
        <v>0</v>
      </c>
      <c r="DI338" s="176">
        <f>k.aA*DI168</f>
        <v>0</v>
      </c>
      <c r="DJ338" s="176">
        <f>k.aAS*DJ168</f>
        <v>9.096510503703707E-16</v>
      </c>
      <c r="DK338" s="176">
        <f>k.aAA*DK168</f>
        <v>3.0047802550788423E-9</v>
      </c>
      <c r="DL338" s="176">
        <f>k.aAP*DL168</f>
        <v>6.7677810381924317E-17</v>
      </c>
      <c r="DM338" s="176">
        <v>0</v>
      </c>
      <c r="DN338" s="176">
        <v>0</v>
      </c>
      <c r="DO338" s="176">
        <v>0</v>
      </c>
      <c r="DP338" s="176">
        <f>k.w2A*DP168</f>
        <v>0</v>
      </c>
      <c r="DQ338" s="176">
        <f>k.w2AS*DQ168</f>
        <v>0</v>
      </c>
      <c r="DR338" s="176">
        <f>k.w2AA*DR168</f>
        <v>0</v>
      </c>
      <c r="DS338" s="176">
        <f>k.w2AP*DS168</f>
        <v>0</v>
      </c>
      <c r="DT338" s="176">
        <f>k.w3A*DT168</f>
        <v>0</v>
      </c>
      <c r="DU338" s="176">
        <f>k.w3AS*DU168</f>
        <v>0</v>
      </c>
      <c r="DV338" s="176">
        <f>k.w3AA*DV168</f>
        <v>0</v>
      </c>
      <c r="DW338" s="176">
        <f>k.w3AP*DW168</f>
        <v>0</v>
      </c>
      <c r="DX338" s="176">
        <f>k.sdA*DX168</f>
        <v>0</v>
      </c>
      <c r="DY338" s="176">
        <f>k.sdAS*DY168</f>
        <v>1.3816274212596664E-47</v>
      </c>
      <c r="DZ338" s="176">
        <f>k.sdAA*DZ168</f>
        <v>-6.9691586450336962E-2</v>
      </c>
      <c r="EA338" s="176">
        <f>k.sdAP*EA168</f>
        <v>1.0202087481792918E-3</v>
      </c>
      <c r="EB338" s="176">
        <f>k.sA*EB168</f>
        <v>0</v>
      </c>
      <c r="EC338" s="176">
        <f>k.sAS*EC168</f>
        <v>3.2662773959679006E-19</v>
      </c>
      <c r="ED338" s="176">
        <f>k.sAA*ED168</f>
        <v>5.111299227602724E-7</v>
      </c>
      <c r="EE338" s="176">
        <f>k.sAP*EE168</f>
        <v>0</v>
      </c>
      <c r="EF338" s="176">
        <f>k.aT*EF168</f>
        <v>0</v>
      </c>
      <c r="EG338" s="176">
        <f>k.aTS*EG168</f>
        <v>1.3510141382865265E-15</v>
      </c>
      <c r="EH338" s="176">
        <f>k.aTA*EH168</f>
        <v>1.3188796261341829E-9</v>
      </c>
      <c r="EI338" s="176">
        <f>k.aTP*EI168</f>
        <v>2.3744582823697664E-17</v>
      </c>
      <c r="EJ338" s="176">
        <v>0</v>
      </c>
      <c r="EK338" s="176">
        <v>0</v>
      </c>
      <c r="EL338" s="176">
        <v>0</v>
      </c>
      <c r="EM338" s="176">
        <f>k.w2T*EM168</f>
        <v>0</v>
      </c>
      <c r="EN338" s="176">
        <f>k.w2TS*EN168</f>
        <v>0</v>
      </c>
      <c r="EO338" s="176">
        <f>k.w2TA*EO168</f>
        <v>0</v>
      </c>
      <c r="EP338" s="176">
        <f>k.w2TP*EP168</f>
        <v>0</v>
      </c>
      <c r="EQ338" s="176">
        <f>k.w3T*EQ168</f>
        <v>0</v>
      </c>
      <c r="ER338" s="176">
        <f>k.w3TS*ER168</f>
        <v>0</v>
      </c>
      <c r="ES338" s="176">
        <f>k.w3TA*ES168</f>
        <v>0</v>
      </c>
      <c r="ET338" s="176">
        <f>k.w3TP*ET168</f>
        <v>0</v>
      </c>
      <c r="EU338" s="176">
        <f>k.sdT*EU168</f>
        <v>0</v>
      </c>
      <c r="EV338" s="176">
        <f>k.sdTS*EV168</f>
        <v>5.6608449706869069E-47</v>
      </c>
      <c r="EW338" s="176">
        <f>k.sdTA*EW168</f>
        <v>-0.15718993085321445</v>
      </c>
      <c r="EX338" s="176">
        <f>k.sdTP*EX168</f>
        <v>5.9109549138861876E-3</v>
      </c>
      <c r="EY338" s="176">
        <f>k.sT*EY168</f>
        <v>0</v>
      </c>
      <c r="EZ338" s="176">
        <f>k.sTS*EZ168</f>
        <v>5.7484100121096565E-18</v>
      </c>
      <c r="FA338" s="176">
        <f>k.sTA*FA168</f>
        <v>5.6150799950443856E-7</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7" priority="14" stopIfTrue="1" operator="lessThan">
      <formula>0</formula>
    </cfRule>
    <cfRule type="cellIs" dxfId="36" priority="15" stopIfTrue="1" operator="greaterThan">
      <formula>0</formula>
    </cfRule>
    <cfRule type="cellIs" dxfId="35" priority="16" stopIfTrue="1" operator="equal">
      <formula>0</formula>
    </cfRule>
  </conditionalFormatting>
  <conditionalFormatting sqref="C176:C331">
    <cfRule type="cellIs" dxfId="34" priority="155" stopIfTrue="1" operator="lessThan">
      <formula>0</formula>
    </cfRule>
    <cfRule type="cellIs" dxfId="33" priority="156" stopIfTrue="1" operator="equal">
      <formula>0</formula>
    </cfRule>
    <cfRule type="cellIs" dxfId="32" priority="157" stopIfTrue="1" operator="greaterThan">
      <formula>0</formula>
    </cfRule>
  </conditionalFormatting>
  <conditionalFormatting sqref="C335:FB335 C336:EV336 EY336:FB336 C337:FB339">
    <cfRule type="cellIs" dxfId="31" priority="304" stopIfTrue="1" operator="equal">
      <formula>0</formula>
    </cfRule>
  </conditionalFormatting>
  <conditionalFormatting sqref="D4:FB5 D9:FB163 FC10:FD44 D168:FB171">
    <cfRule type="cellIs" dxfId="30" priority="302" stopIfTrue="1" operator="equal">
      <formula>0</formula>
    </cfRule>
    <cfRule type="cellIs" dxfId="29" priority="307" stopIfTrue="1" operator="lessThan">
      <formula>0</formula>
    </cfRule>
    <cfRule type="cellIs" dxfId="28" priority="308" stopIfTrue="1" operator="greaterThan">
      <formula>0</formula>
    </cfRule>
  </conditionalFormatting>
  <conditionalFormatting sqref="D9:FB163 D4:FB5 FC10:FD44 D168:FB171">
    <cfRule type="cellIs" dxfId="27" priority="57" stopIfTrue="1" operator="equal">
      <formula>1E-20</formula>
    </cfRule>
  </conditionalFormatting>
  <conditionalFormatting sqref="D9:FB163">
    <cfRule type="cellIs" dxfId="26" priority="2" stopIfTrue="1" operator="equal">
      <formula>1E-21</formula>
    </cfRule>
  </conditionalFormatting>
  <conditionalFormatting sqref="D166:FB166">
    <cfRule type="expression" dxfId="25"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4" priority="149" stopIfTrue="1" operator="lessThan">
      <formula>0</formula>
    </cfRule>
    <cfRule type="cellIs" dxfId="23"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22" priority="148" stopIfTrue="1" operator="equal">
      <formula>0</formula>
    </cfRule>
  </conditionalFormatting>
  <conditionalFormatting sqref="D331:FB331">
    <cfRule type="cellIs" dxfId="21" priority="293" stopIfTrue="1" operator="lessThan">
      <formula>0</formula>
    </cfRule>
    <cfRule type="cellIs" dxfId="20" priority="305" stopIfTrue="1" operator="equal">
      <formula>0</formula>
    </cfRule>
    <cfRule type="cellIs" dxfId="19"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topLeftCell="G1" zoomScaleNormal="100" workbookViewId="0">
      <selection activeCell="O8" sqref="O8"/>
    </sheetView>
  </sheetViews>
  <sheetFormatPr defaultColWidth="12.109375" defaultRowHeight="12.75" customHeight="1" x14ac:dyDescent="0.3"/>
  <cols>
    <col min="1" max="1" width="3.109375" style="515" customWidth="1" collapsed="1"/>
    <col min="2" max="2" width="6.44140625" style="515" customWidth="1" collapsed="1"/>
    <col min="3" max="3" width="6.6640625" style="515" customWidth="1" collapsed="1"/>
    <col min="4" max="4" width="58.6640625" style="515" customWidth="1" collapsed="1"/>
    <col min="5" max="5" width="6.109375" style="515" bestFit="1" customWidth="1" collapsed="1"/>
    <col min="6" max="6" width="5.44140625" style="490" customWidth="1" collapsed="1"/>
    <col min="7" max="8" width="9" style="488" customWidth="1" collapsed="1"/>
    <col min="9" max="9" width="11.6640625" style="488" customWidth="1" collapsed="1"/>
    <col min="10" max="14" width="8.88671875" style="488" customWidth="1" collapsed="1"/>
    <col min="15" max="16" width="9.33203125" style="488" customWidth="1" collapsed="1"/>
    <col min="17" max="24" width="8.88671875" style="488" customWidth="1" collapsed="1"/>
    <col min="25" max="26" width="9.33203125" style="488" customWidth="1" collapsed="1"/>
    <col min="27" max="32" width="8.88671875" style="488" customWidth="1" collapsed="1"/>
    <col min="33" max="33" width="12.33203125" style="488" customWidth="1" collapsed="1"/>
    <col min="34" max="34" width="8.88671875" style="488" customWidth="1" collapsed="1"/>
    <col min="35" max="36" width="9.33203125" style="488" customWidth="1" collapsed="1"/>
    <col min="37" max="37" width="8.88671875" style="488" customWidth="1" collapsed="1"/>
    <col min="38" max="38" width="10.88671875" style="488" customWidth="1" collapsed="1"/>
    <col min="39" max="107" width="8.88671875" style="488" customWidth="1" collapsed="1"/>
    <col min="108" max="108" width="9" style="488" customWidth="1" collapsed="1"/>
    <col min="109" max="164" width="8.88671875" style="488" customWidth="1" collapsed="1"/>
    <col min="165" max="165" width="3.88671875" style="488" customWidth="1" collapsed="1"/>
    <col min="166" max="16384" width="12.10937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GO-Chitosan</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-2.0789449642060672E+18</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-2.0789449642060672E+18</v>
      </c>
      <c r="I10" s="335" t="s">
        <v>4127</v>
      </c>
      <c r="J10" s="493"/>
      <c r="K10" s="897" t="s">
        <v>4132</v>
      </c>
      <c r="AP10" s="494"/>
    </row>
    <row r="11" spans="1:164" ht="12.75" customHeight="1" x14ac:dyDescent="0.3">
      <c r="A11" s="489"/>
      <c r="B11" s="489"/>
      <c r="C11" s="489"/>
      <c r="D11" s="489"/>
      <c r="F11" s="657" t="s">
        <v>4133</v>
      </c>
      <c r="G11" s="689">
        <f>Scale*(M.tot/Emis.tot)/(3600*24*365)</f>
        <v>-2.0789449642060672E+18</v>
      </c>
      <c r="H11" s="689">
        <f>2*Scale*(M.tot/Emis.tot)/(3600*24*365)</f>
        <v>-4.1578899284121344E+18</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3.203009291289352</v>
      </c>
      <c r="L15" s="15">
        <v>0</v>
      </c>
      <c r="M15" s="15">
        <v>0</v>
      </c>
      <c r="N15" s="15">
        <v>0</v>
      </c>
      <c r="O15" s="15">
        <v>0</v>
      </c>
      <c r="P15" s="15">
        <v>0</v>
      </c>
      <c r="Q15" s="15">
        <v>0</v>
      </c>
      <c r="R15" s="15">
        <v>0</v>
      </c>
      <c r="S15" s="15">
        <v>0</v>
      </c>
      <c r="T15" s="15">
        <v>0</v>
      </c>
      <c r="U15" s="15">
        <v>0</v>
      </c>
      <c r="V15" s="15">
        <v>3.203009291289352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3.203009291289352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5" activePane="bottomLeft" state="frozen"/>
      <selection pane="bottomLeft" activeCell="AD28" sqref="AD28"/>
    </sheetView>
  </sheetViews>
  <sheetFormatPr defaultColWidth="9.109375" defaultRowHeight="12.75" customHeight="1" x14ac:dyDescent="0.3"/>
  <cols>
    <col min="1" max="1" width="5.88671875" style="24" customWidth="1" collapsed="1"/>
    <col min="2" max="2" width="31.44140625" style="11" customWidth="1" collapsed="1"/>
    <col min="3" max="3" width="11.33203125" style="23" bestFit="1" customWidth="1" collapsed="1"/>
    <col min="4" max="4" width="10.33203125" style="19" customWidth="1" collapsed="1"/>
    <col min="5" max="5" width="8.109375" style="536" customWidth="1" collapsed="1"/>
    <col min="6" max="6" width="6.6640625" style="24" customWidth="1" collapsed="1"/>
    <col min="7" max="7" width="7.88671875" style="24" bestFit="1" customWidth="1" collapsed="1"/>
    <col min="8" max="11" width="8.109375" style="12" customWidth="1" collapsed="1"/>
    <col min="12" max="16" width="8" style="12" customWidth="1" collapsed="1"/>
    <col min="17" max="17" width="8.88671875" style="12" customWidth="1" collapsed="1"/>
    <col min="18" max="18" width="12" style="12" customWidth="1" collapsed="1"/>
    <col min="19" max="19" width="10" style="12" customWidth="1" collapsed="1"/>
    <col min="20" max="20" width="9.5546875" style="12" customWidth="1" collapsed="1"/>
    <col min="21" max="21" width="10.88671875" style="248" bestFit="1" customWidth="1" collapsed="1"/>
    <col min="22" max="22" width="11.6640625" style="249" customWidth="1" collapsed="1"/>
    <col min="23" max="23" width="11.6640625" style="245" customWidth="1" collapsed="1"/>
    <col min="24" max="24" width="9.6640625" style="253" customWidth="1" collapsed="1"/>
    <col min="25" max="25" width="12" style="254" customWidth="1" collapsed="1"/>
    <col min="26" max="26" width="9.33203125" style="254" customWidth="1" collapsed="1"/>
    <col min="27" max="27" width="5.109375" style="292" hidden="1" customWidth="1" collapsed="1"/>
    <col min="28" max="28" width="5.109375" style="292" customWidth="1"/>
    <col min="29" max="29" width="3.6640625" style="11" customWidth="1" collapsed="1"/>
    <col min="30" max="31" width="9.109375" style="11" collapsed="1"/>
    <col min="32" max="32" width="11.6640625" style="11" customWidth="1" collapsed="1"/>
    <col min="33" max="82" width="9.109375" style="11" collapsed="1"/>
    <col min="83" max="85" width="9.109375" style="11"/>
    <col min="86" max="87" width="9.109375" style="11" collapsed="1"/>
    <col min="88" max="89" width="9.109375" style="11"/>
    <col min="90" max="90" width="9.109375" style="11" collapsed="1"/>
    <col min="91" max="92" width="9.109375" style="11"/>
    <col min="93" max="95" width="9.109375" style="11" collapsed="1"/>
    <col min="96" max="97" width="9.109375" style="11"/>
    <col min="98" max="100" width="9.109375" style="11" collapsed="1"/>
    <col min="101" max="102" width="9.109375" style="11"/>
    <col min="103" max="103" width="9.109375" style="11" collapsed="1"/>
    <col min="104" max="105" width="9.109375" style="11"/>
    <col min="106" max="16384" width="9.109375" style="11" collapsed="1"/>
  </cols>
  <sheetData>
    <row r="1" spans="1:107" ht="12.75" customHeight="1" x14ac:dyDescent="0.3">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18</v>
      </c>
      <c r="B6" s="533" t="str">
        <f t="shared" ref="B6:AG6" si="0">IF(ISBLANK(VLOOKUP($A6,$A$8:$CD$57,COLUMN(),0)),"",VLOOKUP($A6,$A$8:$CD$57,COLUMN(),0))</f>
        <v>GO-Chitosan</v>
      </c>
      <c r="C6" s="533" t="str">
        <f t="shared" si="0"/>
        <v/>
      </c>
      <c r="D6" s="533" t="str">
        <f t="shared" si="0"/>
        <v>Particle</v>
      </c>
      <c r="E6" s="533" t="str">
        <f t="shared" si="0"/>
        <v/>
      </c>
      <c r="F6" s="533">
        <f t="shared" si="0"/>
        <v>99</v>
      </c>
      <c r="G6" s="533" t="str">
        <f t="shared" si="0"/>
        <v/>
      </c>
      <c r="H6" s="533">
        <f t="shared" si="0"/>
        <v>2.4084152589004067E-36</v>
      </c>
      <c r="I6" s="533" t="str">
        <f t="shared" si="0"/>
        <v/>
      </c>
      <c r="J6" s="533">
        <f t="shared" si="0"/>
        <v>9.9999999999999995E-21</v>
      </c>
      <c r="K6" s="533" t="str">
        <f t="shared" si="0"/>
        <v/>
      </c>
      <c r="L6" s="533" t="str">
        <f t="shared" si="0"/>
        <v/>
      </c>
      <c r="M6" s="533" t="str">
        <f t="shared" si="0"/>
        <v/>
      </c>
      <c r="N6" s="533" t="str">
        <f t="shared" si="0"/>
        <v/>
      </c>
      <c r="O6" s="533" t="str">
        <f t="shared" si="0"/>
        <v/>
      </c>
      <c r="P6" s="533" t="str">
        <f t="shared" si="0"/>
        <v/>
      </c>
      <c r="Q6" s="533">
        <f t="shared" si="0"/>
        <v>9.9999999999999995E-21</v>
      </c>
      <c r="R6" s="533">
        <f t="shared" si="0"/>
        <v>1E-13</v>
      </c>
      <c r="S6" s="533">
        <f t="shared" si="0"/>
        <v>9.9999999999999998E-17</v>
      </c>
      <c r="T6" s="533">
        <f t="shared" si="0"/>
        <v>1.0000000000000001E-15</v>
      </c>
      <c r="U6" s="533" t="str">
        <f t="shared" si="0"/>
        <v/>
      </c>
      <c r="V6" s="533" t="str">
        <f t="shared" si="0"/>
        <v/>
      </c>
      <c r="W6" s="533">
        <f t="shared" si="0"/>
        <v>30000</v>
      </c>
      <c r="X6" s="533">
        <f t="shared" si="0"/>
        <v>0.33333333333333331</v>
      </c>
      <c r="Y6" s="533">
        <f t="shared" si="0"/>
        <v>0.33333333333333331</v>
      </c>
      <c r="Z6" s="533">
        <f t="shared" si="0"/>
        <v>0.33333333333333331</v>
      </c>
      <c r="AA6" s="533" t="str">
        <f t="shared" si="0"/>
        <v/>
      </c>
      <c r="AB6" s="533">
        <f t="shared" si="0"/>
        <v>18</v>
      </c>
      <c r="AC6" s="533" t="str">
        <f t="shared" si="0"/>
        <v/>
      </c>
      <c r="AD6" s="849">
        <f t="shared" si="0"/>
        <v>35000</v>
      </c>
      <c r="AE6" s="849">
        <f t="shared" si="0"/>
        <v>408</v>
      </c>
      <c r="AF6" s="849">
        <f t="shared" si="0"/>
        <v>2.02E-20</v>
      </c>
      <c r="AG6" s="849">
        <f t="shared" si="0"/>
        <v>0.1</v>
      </c>
      <c r="AH6" s="849">
        <f t="shared" ref="AH6:BM6" si="1">IF(ISBLANK(VLOOKUP($A6,$A$8:$CD$57,COLUMN(),0)),"",VLOOKUP($A6,$A$8:$CD$57,COLUMN(),0))</f>
        <v>0.1</v>
      </c>
      <c r="AI6" s="849">
        <f t="shared" si="1"/>
        <v>0.1</v>
      </c>
      <c r="AJ6" s="849">
        <f t="shared" si="1"/>
        <v>0.1</v>
      </c>
      <c r="AK6" s="849">
        <f t="shared" si="1"/>
        <v>1</v>
      </c>
      <c r="AL6" s="849">
        <f t="shared" si="1"/>
        <v>1</v>
      </c>
      <c r="AM6" s="849">
        <f t="shared" si="1"/>
        <v>1</v>
      </c>
      <c r="AN6" s="849">
        <f t="shared" si="1"/>
        <v>1</v>
      </c>
      <c r="AO6" s="849">
        <f t="shared" si="1"/>
        <v>0.1</v>
      </c>
      <c r="AP6" s="849">
        <f t="shared" si="1"/>
        <v>0.1</v>
      </c>
      <c r="AQ6" s="849">
        <f t="shared" si="1"/>
        <v>0.1</v>
      </c>
      <c r="AR6" s="849">
        <f t="shared" si="1"/>
        <v>0.1</v>
      </c>
      <c r="AS6" s="849">
        <f t="shared" si="1"/>
        <v>0.1</v>
      </c>
      <c r="AT6" s="849">
        <f t="shared" si="1"/>
        <v>0.1</v>
      </c>
      <c r="AU6" s="849">
        <f t="shared" si="1"/>
        <v>0.1</v>
      </c>
      <c r="AV6" s="849">
        <f t="shared" si="1"/>
        <v>0.1</v>
      </c>
      <c r="AW6" s="849">
        <f t="shared" si="1"/>
        <v>0.1</v>
      </c>
      <c r="AX6" s="849">
        <f t="shared" si="1"/>
        <v>0.1</v>
      </c>
      <c r="AY6" s="849">
        <f t="shared" si="1"/>
        <v>1</v>
      </c>
      <c r="AZ6" s="849">
        <f t="shared" si="1"/>
        <v>1</v>
      </c>
      <c r="BA6" s="849">
        <f t="shared" si="1"/>
        <v>0</v>
      </c>
      <c r="BB6" s="849">
        <f t="shared" si="1"/>
        <v>0</v>
      </c>
      <c r="BC6" s="849">
        <f t="shared" si="1"/>
        <v>0</v>
      </c>
      <c r="BD6" s="849">
        <f t="shared" si="1"/>
        <v>0</v>
      </c>
      <c r="BE6" s="849">
        <f t="shared" si="1"/>
        <v>0</v>
      </c>
      <c r="BF6" s="849">
        <f t="shared" si="1"/>
        <v>0</v>
      </c>
      <c r="BG6" s="849">
        <f t="shared" si="1"/>
        <v>0</v>
      </c>
      <c r="BH6" s="849">
        <f t="shared" si="1"/>
        <v>0</v>
      </c>
      <c r="BI6" s="849">
        <f t="shared" si="1"/>
        <v>0</v>
      </c>
      <c r="BJ6" s="849">
        <f t="shared" si="1"/>
        <v>0</v>
      </c>
      <c r="BK6" s="849">
        <f t="shared" si="1"/>
        <v>0</v>
      </c>
      <c r="BL6" s="849">
        <f t="shared" si="1"/>
        <v>0</v>
      </c>
      <c r="BM6" s="849">
        <f t="shared" si="1"/>
        <v>0</v>
      </c>
      <c r="BN6" s="849">
        <f t="shared" ref="BN6:CC6" si="2">IF(ISBLANK(VLOOKUP($A6,$A$8:$CD$57,COLUMN(),0)),"",VLOOKUP($A6,$A$8:$CD$57,COLUMN(),0))</f>
        <v>0</v>
      </c>
      <c r="BO6" s="849">
        <f t="shared" si="2"/>
        <v>0</v>
      </c>
      <c r="BP6" s="849">
        <f t="shared" si="2"/>
        <v>0</v>
      </c>
      <c r="BQ6" s="849">
        <f t="shared" si="2"/>
        <v>0</v>
      </c>
      <c r="BR6" s="849">
        <f t="shared" si="2"/>
        <v>0</v>
      </c>
      <c r="BS6" s="849">
        <f t="shared" si="2"/>
        <v>0</v>
      </c>
      <c r="BT6" s="849">
        <f t="shared" si="2"/>
        <v>0</v>
      </c>
      <c r="BU6" s="849">
        <f t="shared" si="2"/>
        <v>0</v>
      </c>
      <c r="BV6" s="849">
        <f t="shared" si="2"/>
        <v>0</v>
      </c>
      <c r="BW6" s="849">
        <f t="shared" si="2"/>
        <v>0</v>
      </c>
      <c r="BX6" s="849">
        <f t="shared" si="2"/>
        <v>0</v>
      </c>
      <c r="BY6" s="849">
        <f t="shared" si="2"/>
        <v>0</v>
      </c>
      <c r="BZ6" s="849">
        <f t="shared" si="2"/>
        <v>0</v>
      </c>
      <c r="CA6" s="849">
        <f t="shared" si="2"/>
        <v>0</v>
      </c>
      <c r="CB6" s="849">
        <f t="shared" si="2"/>
        <v>0</v>
      </c>
      <c r="CC6" s="849">
        <f t="shared" si="2"/>
        <v>0</v>
      </c>
      <c r="CD6" s="849">
        <f>IF(ISBLANK(VLOOKUP($A6,$A$8:$CY$57,COLUMN(),0)),"",VLOOKUP($A6,$A$8:$CY$57,COLUMN(),0))</f>
        <v>0</v>
      </c>
      <c r="CE6" s="849">
        <f>IF(ISBLANK(VLOOKUP($A6,$A$8:$CY$57,COLUMN(),0)),"",VLOOKUP($A6,$A$8:$CY$57,COLUMN(),0))</f>
        <v>0</v>
      </c>
      <c r="CF6" s="849"/>
      <c r="CG6" s="849"/>
      <c r="CH6" s="849">
        <f>IF(ISBLANK(VLOOKUP($A6,$A$8:$CY$57,COLUMN(),0)),"",VLOOKUP($A6,$A$8:$CY$57,COLUMN(),0))</f>
        <v>0</v>
      </c>
      <c r="CI6" s="849">
        <f>IF(ISBLANK(VLOOKUP($A6,$A$8:$CY$57,COLUMN(),0)),"",VLOOKUP($A6,$A$8:$CY$57,COLUMN(),0))</f>
        <v>0</v>
      </c>
      <c r="CJ6" s="849"/>
      <c r="CK6" s="849"/>
      <c r="CL6" s="849">
        <f>IF(ISBLANK(VLOOKUP($A6,$A$8:$CY$57,COLUMN(),0)),"",VLOOKUP($A6,$A$8:$CY$57,COLUMN(),0))</f>
        <v>0</v>
      </c>
      <c r="CM6" s="849"/>
      <c r="CN6" s="849"/>
      <c r="CO6" s="849">
        <f>IF(ISBLANK(VLOOKUP($A6,$A$8:$CY$57,COLUMN(),0)),"",VLOOKUP($A6,$A$8:$CY$57,COLUMN(),0))</f>
        <v>0</v>
      </c>
      <c r="CP6" s="849">
        <f>IF(ISBLANK(VLOOKUP($A6,$A$8:$CY$57,COLUMN(),0)),"",VLOOKUP($A6,$A$8:$CY$57,COLUMN(),0))</f>
        <v>0</v>
      </c>
      <c r="CQ6" s="849">
        <f>IF(ISBLANK(VLOOKUP($A6,$A$8:$CY$57,COLUMN(),0)),"",VLOOKUP($A6,$A$8:$CY$57,COLUMN(),0))</f>
        <v>0</v>
      </c>
      <c r="CR6" s="849"/>
      <c r="CS6" s="849"/>
      <c r="CT6" s="849">
        <f>IF(ISBLANK(VLOOKUP($A6,$A$8:$CY$57,COLUMN(),0)),"",VLOOKUP($A6,$A$8:$CY$57,COLUMN(),0))</f>
        <v>0</v>
      </c>
      <c r="CU6" s="849">
        <f>IF(ISBLANK(VLOOKUP($A6,$A$8:$CY$57,COLUMN(),0)),"",VLOOKUP($A6,$A$8:$CY$57,COLUMN(),0))</f>
        <v>0</v>
      </c>
      <c r="CV6" s="849">
        <f>IF(ISBLANK(VLOOKUP($A6,$A$8:$CY$57,COLUMN(),0)),"",VLOOKUP($A6,$A$8:$CY$57,COLUMN(),0))</f>
        <v>0</v>
      </c>
      <c r="CW6" s="849"/>
      <c r="CX6" s="849"/>
      <c r="CY6" s="849">
        <f>IF(ISBLANK(VLOOKUP($A6,$A$8:$CY$57,COLUMN(),0)),"",VLOOKUP($A6,$A$8:$CY$57,COLUMN(),0))</f>
        <v>0</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t="s">
        <v>4777</v>
      </c>
      <c r="C26" s="260"/>
      <c r="D26" s="216" t="s">
        <v>4307</v>
      </c>
      <c r="E26" s="263"/>
      <c r="F26" s="241">
        <v>99</v>
      </c>
      <c r="G26" s="241"/>
      <c r="H26" s="261">
        <v>2.4084152589004067E-36</v>
      </c>
      <c r="I26" s="261"/>
      <c r="J26" s="261">
        <v>9.9999999999999995E-21</v>
      </c>
      <c r="K26" s="261"/>
      <c r="L26" s="261"/>
      <c r="M26" s="261"/>
      <c r="N26" s="261"/>
      <c r="O26" s="261"/>
      <c r="P26" s="261"/>
      <c r="Q26" s="261">
        <v>9.9999999999999995E-21</v>
      </c>
      <c r="R26" s="261">
        <v>1E-13</v>
      </c>
      <c r="S26" s="261">
        <v>9.9999999999999998E-17</v>
      </c>
      <c r="T26" s="261">
        <v>1.0000000000000001E-15</v>
      </c>
      <c r="U26" s="258"/>
      <c r="V26" s="259"/>
      <c r="W26" s="244">
        <v>30000</v>
      </c>
      <c r="X26" s="224">
        <f t="shared" ref="X26:Z28" si="8">1/3</f>
        <v>0.33333333333333331</v>
      </c>
      <c r="Y26" s="224">
        <f t="shared" si="8"/>
        <v>0.33333333333333331</v>
      </c>
      <c r="Z26" s="224">
        <f t="shared" si="8"/>
        <v>0.33333333333333331</v>
      </c>
      <c r="AA26" s="291"/>
      <c r="AB26" s="898">
        <v>18</v>
      </c>
      <c r="AC26" s="224"/>
      <c r="AD26" s="848">
        <v>35000</v>
      </c>
      <c r="AE26" s="848">
        <v>408</v>
      </c>
      <c r="AF26" s="848">
        <v>2.02E-20</v>
      </c>
      <c r="AG26" s="847">
        <v>0.1</v>
      </c>
      <c r="AH26" s="847">
        <v>0.1</v>
      </c>
      <c r="AI26" s="848">
        <v>0.1</v>
      </c>
      <c r="AJ26" s="848">
        <v>0.1</v>
      </c>
      <c r="AK26" s="847">
        <v>1</v>
      </c>
      <c r="AL26" s="847">
        <v>1</v>
      </c>
      <c r="AM26" s="847">
        <v>1</v>
      </c>
      <c r="AN26" s="847">
        <v>1</v>
      </c>
      <c r="AO26" s="848">
        <v>0.1</v>
      </c>
      <c r="AP26" s="848">
        <v>0.1</v>
      </c>
      <c r="AQ26" s="848">
        <v>0.1</v>
      </c>
      <c r="AR26" s="848">
        <v>0.1</v>
      </c>
      <c r="AS26" s="848">
        <v>0.1</v>
      </c>
      <c r="AT26" s="848">
        <v>0.1</v>
      </c>
      <c r="AU26" s="847">
        <v>0.1</v>
      </c>
      <c r="AV26" s="847">
        <v>0.1</v>
      </c>
      <c r="AW26" s="848">
        <v>0.1</v>
      </c>
      <c r="AX26" s="848">
        <v>0.1</v>
      </c>
      <c r="AY26" s="847">
        <v>1</v>
      </c>
      <c r="AZ26" s="847">
        <v>1</v>
      </c>
      <c r="BA26" s="847">
        <v>0</v>
      </c>
      <c r="BB26" s="847">
        <v>0</v>
      </c>
      <c r="BC26" s="847">
        <v>0</v>
      </c>
      <c r="BD26" s="847">
        <v>0</v>
      </c>
      <c r="BE26" s="847">
        <v>0</v>
      </c>
      <c r="BF26" s="847">
        <v>0</v>
      </c>
      <c r="BG26" s="847">
        <v>0</v>
      </c>
      <c r="BH26" s="847">
        <v>0</v>
      </c>
      <c r="BI26" s="847">
        <v>0</v>
      </c>
      <c r="BJ26" s="847">
        <v>0</v>
      </c>
      <c r="BK26" s="847">
        <v>0</v>
      </c>
      <c r="BL26" s="847">
        <v>0</v>
      </c>
      <c r="BM26" s="847">
        <v>0</v>
      </c>
      <c r="BN26" s="847">
        <v>0</v>
      </c>
      <c r="BO26" s="847">
        <v>0</v>
      </c>
      <c r="BP26" s="847">
        <v>0</v>
      </c>
      <c r="BQ26" s="847">
        <v>0</v>
      </c>
      <c r="BR26" s="847">
        <v>0</v>
      </c>
      <c r="BS26" s="847">
        <v>0</v>
      </c>
      <c r="BT26" s="847">
        <v>0</v>
      </c>
      <c r="BU26" s="847">
        <v>0</v>
      </c>
      <c r="BV26" s="847">
        <v>0</v>
      </c>
      <c r="BW26" s="847">
        <v>0</v>
      </c>
      <c r="BX26" s="847">
        <v>0</v>
      </c>
      <c r="BY26" s="847">
        <v>0</v>
      </c>
      <c r="BZ26" s="847">
        <v>0</v>
      </c>
      <c r="CA26" s="847">
        <v>0</v>
      </c>
      <c r="CB26" s="847">
        <v>0</v>
      </c>
      <c r="CC26" s="847">
        <v>0</v>
      </c>
      <c r="CD26" s="847">
        <v>0</v>
      </c>
      <c r="CE26" s="847">
        <v>0</v>
      </c>
      <c r="CF26" s="847">
        <v>0</v>
      </c>
      <c r="CG26" s="847">
        <v>0</v>
      </c>
      <c r="CH26" s="847">
        <v>0</v>
      </c>
      <c r="CI26" s="847">
        <v>0</v>
      </c>
      <c r="CJ26" s="847">
        <v>0</v>
      </c>
      <c r="CK26" s="847">
        <v>0</v>
      </c>
      <c r="CL26" s="847">
        <v>0</v>
      </c>
      <c r="CM26" s="847">
        <v>0</v>
      </c>
      <c r="CN26" s="847">
        <v>0</v>
      </c>
      <c r="CO26" s="847">
        <v>0</v>
      </c>
      <c r="CP26" s="847">
        <v>0</v>
      </c>
      <c r="CQ26" s="847">
        <v>0</v>
      </c>
      <c r="CR26" s="847">
        <v>0</v>
      </c>
      <c r="CS26" s="847">
        <v>0</v>
      </c>
      <c r="CT26" s="847">
        <v>0</v>
      </c>
      <c r="CU26" s="847">
        <v>0</v>
      </c>
      <c r="CV26" s="847">
        <v>0</v>
      </c>
      <c r="CW26" s="847">
        <v>0</v>
      </c>
      <c r="CX26" s="847">
        <v>0</v>
      </c>
      <c r="CY26" s="847">
        <v>0</v>
      </c>
      <c r="CZ26" s="847">
        <v>0</v>
      </c>
      <c r="DA26" s="847">
        <v>0</v>
      </c>
      <c r="DC26" s="802" t="s">
        <v>457</v>
      </c>
    </row>
    <row r="27" spans="1:107" ht="12.75" customHeight="1" x14ac:dyDescent="0.3">
      <c r="A27" s="898">
        <v>19</v>
      </c>
      <c r="B27" s="216" t="s">
        <v>4778</v>
      </c>
      <c r="C27" s="260"/>
      <c r="D27" s="216" t="s">
        <v>4307</v>
      </c>
      <c r="E27" s="263"/>
      <c r="F27" s="241">
        <v>99</v>
      </c>
      <c r="G27" s="241"/>
      <c r="H27" s="261">
        <v>2.4084152589004067E-36</v>
      </c>
      <c r="I27" s="261"/>
      <c r="J27" s="261">
        <v>9.9999999999999995E-21</v>
      </c>
      <c r="K27" s="261"/>
      <c r="L27" s="261"/>
      <c r="M27" s="261"/>
      <c r="N27" s="261"/>
      <c r="O27" s="261"/>
      <c r="P27" s="261"/>
      <c r="Q27" s="261">
        <v>9.9999999999999995E-21</v>
      </c>
      <c r="R27" s="261">
        <v>1E-13</v>
      </c>
      <c r="S27" s="261">
        <v>9.9999999999999998E-17</v>
      </c>
      <c r="T27" s="261">
        <v>1.0000000000000001E-15</v>
      </c>
      <c r="U27" s="258"/>
      <c r="V27" s="259"/>
      <c r="W27" s="244">
        <v>30000</v>
      </c>
      <c r="X27" s="224">
        <f t="shared" si="8"/>
        <v>0.33333333333333331</v>
      </c>
      <c r="Y27" s="224">
        <f t="shared" si="8"/>
        <v>0.33333333333333331</v>
      </c>
      <c r="Z27" s="224">
        <f t="shared" si="8"/>
        <v>0.33333333333333331</v>
      </c>
      <c r="AA27" s="291"/>
      <c r="AB27" s="898">
        <v>19</v>
      </c>
      <c r="AC27" s="224"/>
      <c r="AD27" s="848">
        <v>30000</v>
      </c>
      <c r="AE27" s="848">
        <v>350</v>
      </c>
      <c r="AF27" s="848">
        <v>2.02E-20</v>
      </c>
      <c r="AG27" s="847">
        <v>0.1</v>
      </c>
      <c r="AH27" s="847">
        <v>0.1</v>
      </c>
      <c r="AI27" s="848">
        <v>0.1</v>
      </c>
      <c r="AJ27" s="848">
        <v>0.1</v>
      </c>
      <c r="AK27" s="847">
        <v>1</v>
      </c>
      <c r="AL27" s="847">
        <v>1</v>
      </c>
      <c r="AM27" s="847">
        <v>1</v>
      </c>
      <c r="AN27" s="847">
        <v>1</v>
      </c>
      <c r="AO27" s="848">
        <v>0.1</v>
      </c>
      <c r="AP27" s="848">
        <v>0.1</v>
      </c>
      <c r="AQ27" s="848">
        <v>0.1</v>
      </c>
      <c r="AR27" s="848">
        <v>0.1</v>
      </c>
      <c r="AS27" s="848">
        <v>0.1</v>
      </c>
      <c r="AT27" s="848">
        <v>0.1</v>
      </c>
      <c r="AU27" s="847">
        <v>0.1</v>
      </c>
      <c r="AV27" s="847">
        <v>0.1</v>
      </c>
      <c r="AW27" s="848">
        <v>0.1</v>
      </c>
      <c r="AX27" s="848">
        <v>0.1</v>
      </c>
      <c r="AY27" s="847">
        <v>1</v>
      </c>
      <c r="AZ27" s="847">
        <v>1</v>
      </c>
      <c r="BA27" s="847">
        <v>0</v>
      </c>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t="s">
        <v>4779</v>
      </c>
      <c r="C28" s="260"/>
      <c r="D28" s="216" t="s">
        <v>4307</v>
      </c>
      <c r="E28" s="263"/>
      <c r="F28" s="241">
        <v>99</v>
      </c>
      <c r="G28" s="241"/>
      <c r="H28" s="261">
        <v>2.4084152589004067E-36</v>
      </c>
      <c r="I28" s="261"/>
      <c r="J28" s="261">
        <v>9.9999999999999995E-21</v>
      </c>
      <c r="K28" s="261"/>
      <c r="L28" s="261"/>
      <c r="M28" s="261"/>
      <c r="N28" s="261"/>
      <c r="O28" s="261"/>
      <c r="P28" s="261"/>
      <c r="Q28" s="261">
        <v>9.9999999999999995E-21</v>
      </c>
      <c r="R28" s="261">
        <v>9.9999999999999995E-7</v>
      </c>
      <c r="S28" s="261">
        <v>9.9999999999999998E-17</v>
      </c>
      <c r="T28" s="261">
        <v>9.9999999999999995E-8</v>
      </c>
      <c r="U28" s="258"/>
      <c r="V28" s="259"/>
      <c r="W28" s="244">
        <v>30000</v>
      </c>
      <c r="X28" s="224">
        <f t="shared" si="8"/>
        <v>0.33333333333333331</v>
      </c>
      <c r="Y28" s="224">
        <f t="shared" si="8"/>
        <v>0.33333333333333331</v>
      </c>
      <c r="Z28" s="224">
        <f t="shared" si="8"/>
        <v>0.33333333333333331</v>
      </c>
      <c r="AA28" s="291"/>
      <c r="AB28" s="898">
        <v>20</v>
      </c>
      <c r="AC28" s="224"/>
      <c r="AD28" s="848">
        <v>50000</v>
      </c>
      <c r="AE28" s="848">
        <v>874</v>
      </c>
      <c r="AF28" s="848">
        <v>2.02E-20</v>
      </c>
      <c r="AG28" s="847">
        <v>0.1</v>
      </c>
      <c r="AH28" s="847">
        <v>0.1</v>
      </c>
      <c r="AI28" s="848">
        <v>0.1</v>
      </c>
      <c r="AJ28" s="848">
        <v>0.1</v>
      </c>
      <c r="AK28" s="847">
        <v>1</v>
      </c>
      <c r="AL28" s="847">
        <v>1</v>
      </c>
      <c r="AM28" s="847">
        <v>1</v>
      </c>
      <c r="AN28" s="847">
        <v>1</v>
      </c>
      <c r="AO28" s="848">
        <v>0.1</v>
      </c>
      <c r="AP28" s="848">
        <v>0.1</v>
      </c>
      <c r="AQ28" s="848">
        <v>0.1</v>
      </c>
      <c r="AR28" s="848">
        <v>0.1</v>
      </c>
      <c r="AS28" s="848">
        <v>0.1</v>
      </c>
      <c r="AT28" s="848">
        <v>0.1</v>
      </c>
      <c r="AU28" s="847">
        <v>0.1</v>
      </c>
      <c r="AV28" s="847">
        <v>0.1</v>
      </c>
      <c r="AW28" s="848">
        <v>0.1</v>
      </c>
      <c r="AX28" s="848">
        <v>0.1</v>
      </c>
      <c r="AY28" s="847">
        <v>1</v>
      </c>
      <c r="AZ28" s="847">
        <v>1</v>
      </c>
      <c r="BA28" s="847">
        <v>0</v>
      </c>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9">1/3</f>
        <v>0.33333333333333331</v>
      </c>
      <c r="Y30" s="224">
        <f t="shared" si="9"/>
        <v>0.33333333333333331</v>
      </c>
      <c r="Z30" s="224">
        <f t="shared" si="9"/>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9"/>
        <v>0.33333333333333331</v>
      </c>
      <c r="Y31" s="224">
        <f t="shared" si="9"/>
        <v>0.33333333333333331</v>
      </c>
      <c r="Z31" s="224">
        <f t="shared" si="9"/>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9"/>
        <v>0.33333333333333331</v>
      </c>
      <c r="Y32" s="224">
        <f t="shared" si="9"/>
        <v>0.33333333333333331</v>
      </c>
      <c r="Z32" s="224">
        <f t="shared" si="9"/>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9"/>
        <v>0.33333333333333331</v>
      </c>
      <c r="Y33" s="224">
        <f t="shared" si="9"/>
        <v>0.33333333333333331</v>
      </c>
      <c r="Z33" s="224">
        <f t="shared" si="9"/>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9"/>
        <v>0.33333333333333331</v>
      </c>
      <c r="Y34" s="224">
        <f t="shared" si="9"/>
        <v>0.33333333333333331</v>
      </c>
      <c r="Z34" s="224">
        <f t="shared" si="9"/>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9"/>
        <v>0.33333333333333331</v>
      </c>
      <c r="Y35" s="224">
        <f t="shared" si="9"/>
        <v>0.33333333333333331</v>
      </c>
      <c r="Z35" s="224">
        <f t="shared" si="9"/>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9"/>
        <v>0.33333333333333331</v>
      </c>
      <c r="Y36" s="224">
        <f t="shared" si="9"/>
        <v>0.33333333333333331</v>
      </c>
      <c r="Z36" s="224">
        <f t="shared" si="9"/>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9"/>
        <v>0.33333333333333331</v>
      </c>
      <c r="Y37" s="224">
        <f t="shared" si="9"/>
        <v>0.33333333333333331</v>
      </c>
      <c r="Z37" s="224">
        <f t="shared" si="9"/>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9"/>
        <v>0.33333333333333331</v>
      </c>
      <c r="Y38" s="224">
        <f t="shared" si="9"/>
        <v>0.33333333333333331</v>
      </c>
      <c r="Z38" s="224">
        <f t="shared" si="9"/>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9"/>
        <v>0.33333333333333331</v>
      </c>
      <c r="Y39" s="224">
        <f t="shared" si="9"/>
        <v>0.33333333333333331</v>
      </c>
      <c r="Z39" s="224">
        <f t="shared" si="9"/>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9"/>
        <v>0.33333333333333331</v>
      </c>
      <c r="Y40" s="224">
        <f t="shared" si="9"/>
        <v>0.33333333333333331</v>
      </c>
      <c r="Z40" s="224">
        <f t="shared" si="9"/>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9"/>
        <v>0.33333333333333331</v>
      </c>
      <c r="Y41" s="224">
        <f t="shared" si="9"/>
        <v>0.33333333333333331</v>
      </c>
      <c r="Z41" s="224">
        <f t="shared" si="9"/>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9"/>
        <v>0.33333333333333331</v>
      </c>
      <c r="Y42" s="224">
        <f t="shared" si="9"/>
        <v>0.33333333333333331</v>
      </c>
      <c r="Z42" s="224">
        <f t="shared" si="9"/>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9"/>
        <v>0.33333333333333331</v>
      </c>
      <c r="Y43" s="224">
        <f t="shared" si="9"/>
        <v>0.33333333333333331</v>
      </c>
      <c r="Z43" s="224">
        <f t="shared" si="9"/>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9"/>
        <v>0.33333333333333331</v>
      </c>
      <c r="Y44" s="224">
        <f t="shared" si="9"/>
        <v>0.33333333333333331</v>
      </c>
      <c r="Z44" s="224">
        <f t="shared" si="9"/>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9"/>
        <v>0.33333333333333331</v>
      </c>
      <c r="Y45" s="224">
        <f t="shared" si="9"/>
        <v>0.33333333333333331</v>
      </c>
      <c r="Z45" s="224">
        <f t="shared" si="9"/>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9"/>
        <v>0.33333333333333331</v>
      </c>
      <c r="Y46" s="224">
        <f t="shared" si="9"/>
        <v>0.33333333333333331</v>
      </c>
      <c r="Z46" s="224">
        <f t="shared" si="9"/>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9"/>
        <v>0.33333333333333331</v>
      </c>
      <c r="Y47" s="224">
        <f t="shared" si="9"/>
        <v>0.33333333333333331</v>
      </c>
      <c r="Z47" s="224">
        <f t="shared" si="9"/>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9"/>
        <v>0.33333333333333331</v>
      </c>
      <c r="Y48" s="224">
        <f t="shared" si="9"/>
        <v>0.33333333333333331</v>
      </c>
      <c r="Z48" s="224">
        <f t="shared" si="9"/>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9"/>
        <v>0.33333333333333331</v>
      </c>
      <c r="Y49" s="224">
        <f t="shared" si="9"/>
        <v>0.33333333333333331</v>
      </c>
      <c r="Z49" s="224">
        <f t="shared" si="9"/>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9"/>
        <v>0.33333333333333331</v>
      </c>
      <c r="Y50" s="224">
        <f t="shared" si="9"/>
        <v>0.33333333333333331</v>
      </c>
      <c r="Z50" s="224">
        <f t="shared" si="9"/>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9"/>
        <v>0.33333333333333331</v>
      </c>
      <c r="Y51" s="224">
        <f t="shared" si="9"/>
        <v>0.33333333333333331</v>
      </c>
      <c r="Z51" s="224">
        <f t="shared" si="9"/>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9"/>
        <v>0.33333333333333331</v>
      </c>
      <c r="Y52" s="224">
        <f t="shared" si="9"/>
        <v>0.33333333333333331</v>
      </c>
      <c r="Z52" s="224">
        <f t="shared" si="9"/>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9"/>
        <v>0.33333333333333331</v>
      </c>
      <c r="Y53" s="224">
        <f t="shared" si="9"/>
        <v>0.33333333333333331</v>
      </c>
      <c r="Z53" s="224">
        <f t="shared" si="9"/>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9"/>
        <v>0.33333333333333331</v>
      </c>
      <c r="Y54" s="224">
        <f t="shared" si="9"/>
        <v>0.33333333333333331</v>
      </c>
      <c r="Z54" s="224">
        <f t="shared" si="9"/>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9"/>
        <v>0.33333333333333331</v>
      </c>
      <c r="Y55" s="224">
        <f t="shared" si="9"/>
        <v>0.33333333333333331</v>
      </c>
      <c r="Z55" s="224">
        <f t="shared" si="9"/>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9"/>
        <v>0.33333333333333331</v>
      </c>
      <c r="Y56" s="559">
        <f t="shared" si="9"/>
        <v>0.33333333333333331</v>
      </c>
      <c r="Z56" s="559">
        <f t="shared" si="9"/>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8" priority="5" operator="equal">
      <formula>0</formula>
    </cfRule>
  </conditionalFormatting>
  <conditionalFormatting sqref="E1:AC5">
    <cfRule type="cellIs" dxfId="17" priority="25" operator="equal">
      <formula>0</formula>
    </cfRule>
  </conditionalFormatting>
  <conditionalFormatting sqref="E7:AC16">
    <cfRule type="cellIs" dxfId="16" priority="26" operator="equal">
      <formula>0</formula>
    </cfRule>
  </conditionalFormatting>
  <conditionalFormatting sqref="E21:AC25 E29:AC1048576 AC26:AC28 E26:G28 I26:AA28">
    <cfRule type="cellIs" dxfId="15" priority="4" operator="equal">
      <formula>0</formula>
    </cfRule>
  </conditionalFormatting>
  <conditionalFormatting sqref="AC17:AC20">
    <cfRule type="cellIs" dxfId="14" priority="14" operator="equal">
      <formula>0</formula>
    </cfRule>
  </conditionalFormatting>
  <conditionalFormatting sqref="H26">
    <cfRule type="cellIs" dxfId="2" priority="3" operator="equal">
      <formula>0</formula>
    </cfRule>
  </conditionalFormatting>
  <conditionalFormatting sqref="H27">
    <cfRule type="cellIs" dxfId="1" priority="2" operator="equal">
      <formula>0</formula>
    </cfRule>
  </conditionalFormatting>
  <conditionalFormatting sqref="H28">
    <cfRule type="cellIs" dxfId="0" priority="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09375" defaultRowHeight="13.8" x14ac:dyDescent="0.3"/>
  <cols>
    <col min="1" max="5" width="1.6640625" customWidth="1" collapsed="1"/>
    <col min="6" max="6" width="45.109375" customWidth="1" collapsed="1"/>
    <col min="7" max="7" width="22.6640625" style="172" customWidth="1" collapsed="1"/>
    <col min="8" max="8" width="10.6640625" style="172" customWidth="1" collapsed="1"/>
    <col min="9" max="9" width="9.109375" style="236" collapsed="1"/>
    <col min="10" max="13" width="9.109375" style="185" collapsed="1"/>
    <col min="14" max="14" width="9.109375" style="185"/>
    <col min="15" max="15" width="9.109375" style="185" collapsed="1"/>
    <col min="16" max="16" width="9.109375" style="185"/>
    <col min="17" max="29" width="9.109375" style="185" collapsed="1"/>
    <col min="30" max="33" width="9.109375" style="20" collapsed="1"/>
    <col min="34" max="34" width="9.109375" style="20"/>
    <col min="35" max="16384" width="9.109375" style="20" collapsed="1"/>
  </cols>
  <sheetData>
    <row r="1" spans="1:34" ht="12.75" customHeight="1" x14ac:dyDescent="0.3">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4.4"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3" priority="24" operator="equal">
      <formula>0</formula>
    </cfRule>
  </conditionalFormatting>
  <conditionalFormatting sqref="J69:V124">
    <cfRule type="cellIs" dxfId="12" priority="2" operator="equal">
      <formula>0</formula>
    </cfRule>
  </conditionalFormatting>
  <conditionalFormatting sqref="J38:AC66">
    <cfRule type="cellIs" dxfId="11" priority="1" operator="equal">
      <formula>0</formula>
    </cfRule>
  </conditionalFormatting>
  <conditionalFormatting sqref="M69:M84 O85:O94 M86:M114">
    <cfRule type="cellIs" dxfId="10" priority="26" operator="equal">
      <formula>0</formula>
    </cfRule>
  </conditionalFormatting>
  <conditionalFormatting sqref="M116:M124">
    <cfRule type="cellIs" dxfId="9" priority="21" operator="equal">
      <formula>0</formula>
    </cfRule>
  </conditionalFormatting>
  <conditionalFormatting sqref="S69:S84 S86:S114">
    <cfRule type="cellIs" dxfId="8" priority="8" operator="equal">
      <formula>0</formula>
    </cfRule>
  </conditionalFormatting>
  <conditionalFormatting sqref="S116:S124">
    <cfRule type="cellIs" dxfId="7" priority="5" operator="equal">
      <formula>0</formula>
    </cfRule>
  </conditionalFormatting>
  <conditionalFormatting sqref="W69:W84 Y85:Y94 W86:W114">
    <cfRule type="cellIs" dxfId="6" priority="16" operator="equal">
      <formula>0</formula>
    </cfRule>
  </conditionalFormatting>
  <conditionalFormatting sqref="X69:AC124">
    <cfRule type="cellIs" dxfId="5" priority="12" operator="equal">
      <formula>0</formula>
    </cfRule>
  </conditionalFormatting>
  <conditionalFormatting sqref="Y115:Y124 W116:W124">
    <cfRule type="cellIs" dxfId="4"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09375" defaultRowHeight="12.75" customHeight="1" x14ac:dyDescent="0.3"/>
  <cols>
    <col min="1" max="5" width="1.6640625" customWidth="1" collapsed="1"/>
    <col min="6" max="6" width="65.6640625" customWidth="1" collapsed="1"/>
    <col min="7" max="7" width="22.6640625" style="172" customWidth="1" collapsed="1"/>
    <col min="8" max="8" width="16" style="172" bestFit="1" customWidth="1" collapsed="1"/>
    <col min="9" max="9" width="9.88671875" style="237" customWidth="1" collapsed="1"/>
    <col min="10" max="10" width="9.109375" style="735" collapsed="1"/>
    <col min="11" max="11" width="9.109375" style="262" collapsed="1"/>
    <col min="12" max="12" width="9.109375" style="262"/>
    <col min="13" max="26" width="9.109375" style="262" collapsed="1"/>
    <col min="27" max="221" width="9.109375" style="19" collapsed="1"/>
    <col min="222" max="231" width="9.109375" style="19"/>
    <col min="232" max="16384" width="9.10937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GO-Chitosan</v>
      </c>
      <c r="J6" s="822"/>
    </row>
    <row r="7" spans="1:26" ht="12.75" customHeight="1" x14ac:dyDescent="0.3">
      <c r="A7" s="38"/>
      <c r="B7" s="17"/>
      <c r="C7" s="17"/>
      <c r="D7" s="17"/>
      <c r="E7" s="17"/>
      <c r="F7" s="17"/>
      <c r="G7" s="38" t="s">
        <v>291</v>
      </c>
      <c r="H7" s="38"/>
      <c r="I7" s="239" t="str">
        <f>IF(ISBLANK(input!I6),"",input!I6)</f>
        <v/>
      </c>
      <c r="O7" s="262" t="s">
        <v>4295</v>
      </c>
    </row>
    <row r="8" spans="1:26" ht="26.5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f>IF(ISBLANK(input!I14),"",input!I14)</f>
        <v>2840</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f>IF(ISBLANK(input!I372),"",input!I372)</f>
        <v>9.9999999999999995E-21</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f>IF(ISBLANK(input!I393),"",input!I393)</f>
        <v>9.9999999999999995E-21</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35">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35">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35">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35">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35">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35">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35">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35">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35">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35">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35">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3"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109375" defaultRowHeight="13.8" x14ac:dyDescent="0.3"/>
  <cols>
    <col min="1" max="1" width="9.6640625" style="316" bestFit="1" customWidth="1" collapsed="1"/>
    <col min="2" max="2" width="64.33203125" style="316" customWidth="1" collapsed="1"/>
    <col min="3" max="16384" width="9.109375" style="316" collapsed="1"/>
  </cols>
  <sheetData>
    <row r="1" spans="1:3" s="328" customFormat="1" x14ac:dyDescent="0.3">
      <c r="A1" s="327" t="s">
        <v>4400</v>
      </c>
      <c r="B1" s="327" t="s">
        <v>4401</v>
      </c>
      <c r="C1" s="327" t="s">
        <v>297</v>
      </c>
    </row>
    <row r="2" spans="1:3" ht="15" x14ac:dyDescent="0.3">
      <c r="A2" s="317" t="s">
        <v>4402</v>
      </c>
      <c r="B2" s="318">
        <f>(kwsd.water.wC*kwsd.sed.sdC)/(kwsd.water.wC+kwsd.sed.sdC)*FRw.w1C*(SYSTEMAREA.C*AREAFRAC.w1C)</f>
        <v>2632.1138216525001</v>
      </c>
      <c r="C2" s="317" t="s">
        <v>1089</v>
      </c>
    </row>
    <row r="3" spans="1:3" ht="15" x14ac:dyDescent="0.3">
      <c r="A3" s="317" t="s">
        <v>4403</v>
      </c>
      <c r="B3" s="318" t="e">
        <f>(kwsd.water.wR*kwsd.sed.sdR)/(kwsd.water.wR+kwsd.sed.sdR)*FRw.w1R*(SYSTEMAREA.R*AREAFRAC.w1R)</f>
        <v>#NAME?</v>
      </c>
      <c r="C3" s="317" t="s">
        <v>1089</v>
      </c>
    </row>
    <row r="4" spans="1:3" ht="15" x14ac:dyDescent="0.3">
      <c r="A4" s="317" t="s">
        <v>4404</v>
      </c>
      <c r="B4" s="318">
        <f>(kwsd.water.wC*kwsd.sed.sdC)/(kwsd.water.wC+kwsd.sed.sdC)*FRw.w2C*(SYSTEMAREA.C*AREAFRAC.w2C)</f>
        <v>102063.6723737127</v>
      </c>
      <c r="C4" s="317" t="s">
        <v>1089</v>
      </c>
    </row>
    <row r="5" spans="1:3" ht="15" x14ac:dyDescent="0.3">
      <c r="A5" s="317" t="s">
        <v>4405</v>
      </c>
      <c r="B5" s="318" t="e">
        <f>(kwsd.water.wR*kwsd.sed.sdR)/(kwsd.water.wR+kwsd.sed.sdR)*FRw.w2R*(SYSTEMAREA.R*AREAFRAC.w2R)</f>
        <v>#NAME?</v>
      </c>
      <c r="C5" s="317" t="s">
        <v>1089</v>
      </c>
    </row>
    <row r="6" spans="1:3" ht="15" x14ac:dyDescent="0.3">
      <c r="A6" s="317" t="s">
        <v>4406</v>
      </c>
      <c r="B6" s="318">
        <f>(kwsd.water.wA*kwsd.sed.sdA)/(kwsd.water.wA+kwsd.sed.sdA)*FRw.w3A*(SYSTEMAREA.A*AREAFRAC.wA)</f>
        <v>700871.61006451584</v>
      </c>
      <c r="C6" s="321" t="s">
        <v>1089</v>
      </c>
    </row>
    <row r="7" spans="1:3" ht="15" x14ac:dyDescent="0.3">
      <c r="A7" s="317" t="s">
        <v>4407</v>
      </c>
      <c r="B7" s="318">
        <f>(kwsd.water.wM*kwsd.sed.sdM)/(kwsd.water.wM+kwsd.sed.sdM)*FRw.w3M*(SYSTEMAREA.M*AREAFRAC.wM)</f>
        <v>1066028.1925726347</v>
      </c>
      <c r="C7" s="321" t="s">
        <v>1089</v>
      </c>
    </row>
    <row r="8" spans="1:3" ht="15" x14ac:dyDescent="0.3">
      <c r="A8" s="317" t="s">
        <v>4408</v>
      </c>
      <c r="B8" s="318">
        <f>(kwsd.water.wT*kwsd.sed.sdT)/(kwsd.water.wT+kwsd.sed.sdT)*FRw.w3T*(SYSTEMAREA.T*AREAFRAC.wT)</f>
        <v>2453050.6352258055</v>
      </c>
      <c r="C8" s="321" t="s">
        <v>1089</v>
      </c>
    </row>
    <row r="9" spans="1:3" ht="15" x14ac:dyDescent="0.3">
      <c r="A9" s="319" t="s">
        <v>3096</v>
      </c>
      <c r="B9" s="318">
        <v>1E-3</v>
      </c>
      <c r="C9" s="320" t="s">
        <v>1226</v>
      </c>
    </row>
    <row r="10" spans="1:3" ht="15" x14ac:dyDescent="0.3">
      <c r="A10" s="319" t="s">
        <v>2150</v>
      </c>
      <c r="B10" s="318">
        <v>1E-3</v>
      </c>
      <c r="C10" s="319" t="s">
        <v>1226</v>
      </c>
    </row>
    <row r="11" spans="1:3" ht="15" x14ac:dyDescent="0.3">
      <c r="A11" s="319" t="s">
        <v>2719</v>
      </c>
      <c r="B11" s="318">
        <v>1E-3</v>
      </c>
      <c r="C11" s="320" t="s">
        <v>1226</v>
      </c>
    </row>
    <row r="12" spans="1:3" ht="15" x14ac:dyDescent="0.3">
      <c r="A12" s="319" t="s">
        <v>1232</v>
      </c>
      <c r="B12" s="318">
        <v>1E-3</v>
      </c>
      <c r="C12" s="319" t="s">
        <v>1226</v>
      </c>
    </row>
    <row r="13" spans="1:3" ht="15" x14ac:dyDescent="0.3">
      <c r="A13" s="319" t="s">
        <v>3408</v>
      </c>
      <c r="B13" s="321">
        <v>1E-3</v>
      </c>
      <c r="C13" s="320" t="s">
        <v>1226</v>
      </c>
    </row>
    <row r="14" spans="1:3" ht="15" x14ac:dyDescent="0.3">
      <c r="A14" s="317" t="s">
        <v>3094</v>
      </c>
      <c r="B14" s="318">
        <f>(FRaerw.aA+FRaers.aA)*(tdry.A+twet.A)/twet.A*RAINrate.A*COLLECTeff.A</f>
        <v>2.6424826653137157E-2</v>
      </c>
      <c r="C14" s="319" t="s">
        <v>1226</v>
      </c>
    </row>
    <row r="15" spans="1:3" ht="15" x14ac:dyDescent="0.3">
      <c r="A15" s="317" t="s">
        <v>2147</v>
      </c>
      <c r="B15" s="318">
        <f>(FRaerw.aC+FRaers.aC)*(tdry.C+twet.C)/twet.C*RAINrate.C*COLLECTeff.C</f>
        <v>7.3989514628752737E-2</v>
      </c>
      <c r="C15" s="319" t="s">
        <v>1226</v>
      </c>
    </row>
    <row r="16" spans="1:3" ht="15" x14ac:dyDescent="0.3">
      <c r="A16" s="317" t="s">
        <v>2717</v>
      </c>
      <c r="B16" s="318">
        <f>(FRaerw.aM+FRaers.aM)*(tdry.M+twet.M)/twet.M*RAINrate.M*COLLECTeff.M</f>
        <v>7.3989514628752737E-2</v>
      </c>
      <c r="C16" s="319" t="s">
        <v>1226</v>
      </c>
    </row>
    <row r="17" spans="1:3" ht="15" x14ac:dyDescent="0.3">
      <c r="A17" s="317" t="s">
        <v>1228</v>
      </c>
      <c r="B17" s="318">
        <f>(FRaerw.aR+FRaers.aR)*(tdry.R+twet.R)/twet.R*COLLECTeff.R*RAINrate.R</f>
        <v>7.3989514628752723E-2</v>
      </c>
      <c r="C17" s="319" t="s">
        <v>1226</v>
      </c>
    </row>
    <row r="18" spans="1:3" ht="15" x14ac:dyDescent="0.3">
      <c r="A18" s="317" t="s">
        <v>3406</v>
      </c>
      <c r="B18" s="318">
        <f>(FRaerw.aT+FRaers.aT)*(tdry.T+twet.T)/twet.T*RAINrate.T*COLLECTeff.T</f>
        <v>0.13740909859608266</v>
      </c>
      <c r="C18" s="319" t="s">
        <v>1226</v>
      </c>
    </row>
    <row r="19" spans="1:3" ht="15" x14ac:dyDescent="0.3">
      <c r="A19" s="317" t="s">
        <v>4409</v>
      </c>
      <c r="B19" s="318">
        <f>VOLUME.aA/TAU.aA</f>
        <v>29424519893.079891</v>
      </c>
      <c r="C19" s="321" t="s">
        <v>1089</v>
      </c>
    </row>
    <row r="20" spans="1:3" ht="15" x14ac:dyDescent="0.3">
      <c r="A20" s="317" t="s">
        <v>4410</v>
      </c>
      <c r="B20" s="318" t="e">
        <f>VOLUME.aC/TAU.aC-AIRflow.aC.aR</f>
        <v>#NAME?</v>
      </c>
      <c r="C20" s="321" t="s">
        <v>1089</v>
      </c>
    </row>
    <row r="21" spans="1:3" ht="15" x14ac:dyDescent="0.3">
      <c r="A21" s="317" t="s">
        <v>4411</v>
      </c>
      <c r="B21" s="318" t="e">
        <f>AIRflow.aR.aC</f>
        <v>#NAME?</v>
      </c>
      <c r="C21" s="321" t="s">
        <v>1089</v>
      </c>
    </row>
    <row r="22" spans="1:3" ht="15" x14ac:dyDescent="0.3">
      <c r="A22" s="317" t="s">
        <v>4412</v>
      </c>
      <c r="B22" s="318" t="e">
        <f>AIRflow.aA.aM</f>
        <v>#NAME?</v>
      </c>
      <c r="C22" s="321" t="s">
        <v>1089</v>
      </c>
    </row>
    <row r="23" spans="1:3" ht="15" x14ac:dyDescent="0.3">
      <c r="A23" s="317" t="s">
        <v>4413</v>
      </c>
      <c r="B23" s="318" t="e">
        <f>AIRflow.aC.aM</f>
        <v>#NAME?</v>
      </c>
      <c r="C23" s="321" t="s">
        <v>1089</v>
      </c>
    </row>
    <row r="24" spans="1:3" ht="15" x14ac:dyDescent="0.3">
      <c r="A24" s="317" t="s">
        <v>4414</v>
      </c>
      <c r="B24" s="318" t="e">
        <f>AIRflow.aT.aM</f>
        <v>#NAME?</v>
      </c>
      <c r="C24" s="321" t="s">
        <v>1089</v>
      </c>
    </row>
    <row r="25" spans="1:3" ht="15" x14ac:dyDescent="0.3">
      <c r="A25" s="317" t="s">
        <v>4415</v>
      </c>
      <c r="B25" s="318">
        <f>VOLUME.aR/TAU.aR</f>
        <v>2162581519.9666018</v>
      </c>
      <c r="C25" s="317" t="s">
        <v>1089</v>
      </c>
    </row>
    <row r="26" spans="1:3" ht="1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5" x14ac:dyDescent="0.3">
      <c r="A45" s="321" t="s">
        <v>757</v>
      </c>
      <c r="B45" s="321">
        <v>3714410</v>
      </c>
      <c r="C45" s="319" t="s">
        <v>697</v>
      </c>
    </row>
    <row r="46" spans="1:3" ht="15" x14ac:dyDescent="0.3">
      <c r="A46" s="321" t="s">
        <v>696</v>
      </c>
      <c r="B46" s="321">
        <v>228570</v>
      </c>
      <c r="C46" s="319" t="s">
        <v>697</v>
      </c>
    </row>
    <row r="47" spans="1:3" ht="15" x14ac:dyDescent="0.3">
      <c r="A47" s="321" t="s">
        <v>758</v>
      </c>
      <c r="B47" s="321">
        <v>3714410</v>
      </c>
      <c r="C47" s="319" t="s">
        <v>697</v>
      </c>
    </row>
    <row r="48" spans="1:3" ht="15" x14ac:dyDescent="0.3">
      <c r="A48" s="321" t="s">
        <v>700</v>
      </c>
      <c r="B48" s="321">
        <v>1000</v>
      </c>
      <c r="C48" s="319" t="s">
        <v>697</v>
      </c>
    </row>
    <row r="49" spans="1:3" ht="1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5" x14ac:dyDescent="0.3">
      <c r="A63" s="317" t="s">
        <v>4417</v>
      </c>
      <c r="B63" s="318">
        <f>NETsedrate.w1C*SYSTEMAREA.C*AREAFRAC.w1C</f>
        <v>8.265757754893718</v>
      </c>
      <c r="C63" s="317" t="s">
        <v>1089</v>
      </c>
    </row>
    <row r="64" spans="1:3" ht="15" x14ac:dyDescent="0.3">
      <c r="A64" s="317" t="s">
        <v>4418</v>
      </c>
      <c r="B64" s="318">
        <f>NETsedrate.w1R*SYSTEMAREA.R*AREAFRAC.w1R</f>
        <v>0.54598031594844021</v>
      </c>
      <c r="C64" s="317" t="s">
        <v>1089</v>
      </c>
    </row>
    <row r="65" spans="1:3" ht="15" x14ac:dyDescent="0.3">
      <c r="A65" s="317" t="s">
        <v>4419</v>
      </c>
      <c r="B65" s="318">
        <f>NETsedrate.w2C*SYSTEMAREA.C*AREAFRAC.w2C</f>
        <v>101.74743400000001</v>
      </c>
      <c r="C65" s="317" t="s">
        <v>1089</v>
      </c>
    </row>
    <row r="66" spans="1:3" ht="15" x14ac:dyDescent="0.3">
      <c r="A66" s="317" t="s">
        <v>4420</v>
      </c>
      <c r="B66" s="318">
        <f>NETsedrate.w2R*SYSTEMAREA.R*AREAFRAC.w2R</f>
        <v>2.7428797247595133E-2</v>
      </c>
      <c r="C66" s="317" t="s">
        <v>1089</v>
      </c>
    </row>
    <row r="67" spans="1:3" ht="15" x14ac:dyDescent="0.3">
      <c r="A67" s="317" t="s">
        <v>4421</v>
      </c>
      <c r="B67" s="318">
        <f>NETsedrate.wA*SYSTEMAREA.A*AREAFRAC.wA</f>
        <v>1.6171993911719766</v>
      </c>
      <c r="C67" s="317" t="s">
        <v>1089</v>
      </c>
    </row>
    <row r="68" spans="1:3" ht="15" x14ac:dyDescent="0.3">
      <c r="A68" s="317" t="s">
        <v>4422</v>
      </c>
      <c r="B68" s="318">
        <f>NETsedrate.wM*SYSTEMAREA.M*AREAFRAC.wM</f>
        <v>3.4720095874555419</v>
      </c>
      <c r="C68" s="317" t="s">
        <v>1089</v>
      </c>
    </row>
    <row r="69" spans="1:3" ht="15" x14ac:dyDescent="0.3">
      <c r="A69" s="317" t="s">
        <v>4423</v>
      </c>
      <c r="B69" s="318">
        <f>NETsedrate.wT*SYSTEMAREA.T*AREAFRAC.wT</f>
        <v>5.6601978691020065</v>
      </c>
      <c r="C69" s="317" t="s">
        <v>1089</v>
      </c>
    </row>
    <row r="70" spans="1:3" ht="15" x14ac:dyDescent="0.3">
      <c r="A70" s="317" t="s">
        <v>644</v>
      </c>
      <c r="B70" s="321">
        <v>500000</v>
      </c>
      <c r="C70" s="317" t="s">
        <v>645</v>
      </c>
    </row>
    <row r="71" spans="1:3" ht="15" x14ac:dyDescent="0.3">
      <c r="A71" s="317" t="s">
        <v>3135</v>
      </c>
      <c r="B71" s="318">
        <v>500000</v>
      </c>
      <c r="C71" s="317" t="s">
        <v>645</v>
      </c>
    </row>
    <row r="72" spans="1:3" ht="15" x14ac:dyDescent="0.3">
      <c r="A72" s="317" t="s">
        <v>2227</v>
      </c>
      <c r="B72" s="318">
        <v>500000</v>
      </c>
      <c r="C72" s="317" t="s">
        <v>645</v>
      </c>
    </row>
    <row r="73" spans="1:3" ht="15" x14ac:dyDescent="0.3">
      <c r="A73" s="317" t="s">
        <v>2777</v>
      </c>
      <c r="B73" s="318">
        <v>500000</v>
      </c>
      <c r="C73" s="317" t="s">
        <v>645</v>
      </c>
    </row>
    <row r="74" spans="1:3" ht="15" x14ac:dyDescent="0.3">
      <c r="A74" s="317" t="s">
        <v>1377</v>
      </c>
      <c r="B74" s="318">
        <v>500000</v>
      </c>
      <c r="C74" s="317" t="s">
        <v>645</v>
      </c>
    </row>
    <row r="75" spans="1:3" ht="1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9" x14ac:dyDescent="0.3">
      <c r="A132" s="317" t="s">
        <v>2211</v>
      </c>
      <c r="B132" s="324" t="s">
        <v>4424</v>
      </c>
      <c r="C132" s="321" t="s">
        <v>314</v>
      </c>
    </row>
    <row r="133" spans="1:3" ht="69" x14ac:dyDescent="0.3">
      <c r="A133" s="317" t="s">
        <v>1348</v>
      </c>
      <c r="B133" s="324" t="s">
        <v>4425</v>
      </c>
      <c r="C133" s="321" t="s">
        <v>314</v>
      </c>
    </row>
    <row r="134" spans="1:3" ht="69" x14ac:dyDescent="0.3">
      <c r="A134" s="317" t="s">
        <v>2212</v>
      </c>
      <c r="B134" s="324" t="s">
        <v>4426</v>
      </c>
      <c r="C134" s="321" t="s">
        <v>314</v>
      </c>
    </row>
    <row r="135" spans="1:3" ht="69" x14ac:dyDescent="0.3">
      <c r="A135" s="317" t="s">
        <v>1349</v>
      </c>
      <c r="B135" s="324" t="s">
        <v>4427</v>
      </c>
      <c r="C135" s="321" t="s">
        <v>314</v>
      </c>
    </row>
    <row r="136" spans="1:3" ht="69" x14ac:dyDescent="0.3">
      <c r="A136" s="317" t="s">
        <v>2213</v>
      </c>
      <c r="B136" s="324" t="s">
        <v>4428</v>
      </c>
      <c r="C136" s="321" t="s">
        <v>314</v>
      </c>
    </row>
    <row r="137" spans="1:3" ht="69"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41.4" x14ac:dyDescent="0.3">
      <c r="A150" s="317" t="s">
        <v>568</v>
      </c>
      <c r="B150" s="324" t="s">
        <v>4430</v>
      </c>
      <c r="C150" s="317" t="s">
        <v>314</v>
      </c>
    </row>
    <row r="151" spans="1:3" ht="15" x14ac:dyDescent="0.3">
      <c r="A151" s="317" t="s">
        <v>4431</v>
      </c>
      <c r="B151" s="318">
        <f>(KDEPmean.A*HEIGHT.aA)*(SYSTEMAREA.A*AREAFRAC.sA)</f>
        <v>136287023657.60262</v>
      </c>
      <c r="C151" s="321" t="s">
        <v>1089</v>
      </c>
    </row>
    <row r="152" spans="1:3" ht="15" x14ac:dyDescent="0.3">
      <c r="A152" s="317" t="s">
        <v>4432</v>
      </c>
      <c r="B152" s="318">
        <f>(KDEPmean.A*HEIGHT.aA)*(SYSTEMAREA.A*AREAFRAC.wA)</f>
        <v>204430535486.40393</v>
      </c>
      <c r="C152" s="321" t="s">
        <v>1089</v>
      </c>
    </row>
    <row r="153" spans="1:3" ht="15" x14ac:dyDescent="0.3">
      <c r="A153" s="317" t="s">
        <v>4433</v>
      </c>
      <c r="B153" s="318" t="e">
        <f>(KDEPmean.C*HEIGHT.aC)*(SYSTEMAREA.C*AREAFRAC.s1C)</f>
        <v>#NAME?</v>
      </c>
      <c r="C153" s="317" t="s">
        <v>1089</v>
      </c>
    </row>
    <row r="154" spans="1:3" ht="15" x14ac:dyDescent="0.3">
      <c r="A154" s="317" t="s">
        <v>4434</v>
      </c>
      <c r="B154" s="318" t="e">
        <f>(KDEPmean.C*HEIGHT.aC)*(SYSTEMAREA.C*AREAFRAC.s2C)</f>
        <v>#NAME?</v>
      </c>
      <c r="C154" s="317" t="s">
        <v>1089</v>
      </c>
    </row>
    <row r="155" spans="1:3" ht="15" x14ac:dyDescent="0.3">
      <c r="A155" s="317" t="s">
        <v>4435</v>
      </c>
      <c r="B155" s="318" t="e">
        <f>(KDEPmean.C*HEIGHT.aC)*(SYSTEMAREA.C*AREAFRAC.s3C)</f>
        <v>#NAME?</v>
      </c>
      <c r="C155" s="317" t="s">
        <v>1089</v>
      </c>
    </row>
    <row r="156" spans="1:3" ht="15" x14ac:dyDescent="0.3">
      <c r="A156" s="317" t="s">
        <v>4436</v>
      </c>
      <c r="B156" s="318" t="e">
        <f>(KDEPmean.C*HEIGHT.aC)*(SYSTEMAREA.C*AREAFRAC.w0C)</f>
        <v>#NAME?</v>
      </c>
      <c r="C156" s="317" t="s">
        <v>1089</v>
      </c>
    </row>
    <row r="157" spans="1:3" ht="15" x14ac:dyDescent="0.3">
      <c r="A157" s="317" t="s">
        <v>4437</v>
      </c>
      <c r="B157" s="318" t="e">
        <f>(KDEPmean.C*HEIGHT.aC)*(SYSTEMAREA.C*AREAFRAC.w1C)</f>
        <v>#NAME?</v>
      </c>
      <c r="C157" s="317" t="s">
        <v>1089</v>
      </c>
    </row>
    <row r="158" spans="1:3" ht="15" x14ac:dyDescent="0.3">
      <c r="A158" s="317" t="s">
        <v>4438</v>
      </c>
      <c r="B158" s="318" t="e">
        <f>(KDEPmean.C*HEIGHT.aC)*(SYSTEMAREA.C*AREAFRAC.w2C)</f>
        <v>#NAME?</v>
      </c>
      <c r="C158" s="317" t="s">
        <v>1089</v>
      </c>
    </row>
    <row r="159" spans="1:3" ht="15" x14ac:dyDescent="0.3">
      <c r="A159" s="317" t="s">
        <v>4439</v>
      </c>
      <c r="B159" s="318">
        <f>(KDEPmean.M*HEIGHT.aM)*(SYSTEMAREA.M*AREAFRAC.sM)</f>
        <v>306734653218.52026</v>
      </c>
      <c r="C159" s="321" t="s">
        <v>1089</v>
      </c>
    </row>
    <row r="160" spans="1:3" ht="15" x14ac:dyDescent="0.3">
      <c r="A160" s="317" t="s">
        <v>4440</v>
      </c>
      <c r="B160" s="318">
        <f>(KDEPmean.M*HEIGHT.aM)*(SYSTEMAREA.M*AREAFRAC.wM)</f>
        <v>306734653218.52026</v>
      </c>
      <c r="C160" s="321" t="s">
        <v>1089</v>
      </c>
    </row>
    <row r="161" spans="1:3" ht="15" x14ac:dyDescent="0.3">
      <c r="A161" s="317" t="s">
        <v>4441</v>
      </c>
      <c r="B161" s="325" t="e">
        <f>(KDEPmean.R*HEIGHT.aR)*(SYSTEMAREA.R*AREAFRAC.s1R)</f>
        <v>#NAME?</v>
      </c>
      <c r="C161" s="317" t="s">
        <v>1089</v>
      </c>
    </row>
    <row r="162" spans="1:3" ht="15" x14ac:dyDescent="0.3">
      <c r="A162" s="317" t="s">
        <v>4442</v>
      </c>
      <c r="B162" s="325" t="e">
        <f>(KDEPmean.R*HEIGHT.aR)*(SYSTEMAREA.R*AREAFRAC.s2R)</f>
        <v>#NAME?</v>
      </c>
      <c r="C162" s="317" t="s">
        <v>1089</v>
      </c>
    </row>
    <row r="163" spans="1:3" ht="15" x14ac:dyDescent="0.3">
      <c r="A163" s="317" t="s">
        <v>4443</v>
      </c>
      <c r="B163" s="325" t="e">
        <f>(KDEPmean.R*HEIGHT.aR)*(SYSTEMAREA.R*AREAFRAC.s3R)</f>
        <v>#NAME?</v>
      </c>
      <c r="C163" s="317" t="s">
        <v>1089</v>
      </c>
    </row>
    <row r="164" spans="1:3" ht="15" x14ac:dyDescent="0.3">
      <c r="A164" s="317" t="s">
        <v>4444</v>
      </c>
      <c r="B164" s="325" t="e">
        <f>(KDEPmean.R*HEIGHT.aR)*(SYSTEMAREA.R*AREAFRAC.w0R)</f>
        <v>#NAME?</v>
      </c>
      <c r="C164" s="317" t="s">
        <v>1089</v>
      </c>
    </row>
    <row r="165" spans="1:3" ht="15" x14ac:dyDescent="0.3">
      <c r="A165" s="317" t="s">
        <v>4445</v>
      </c>
      <c r="B165" s="325" t="e">
        <f>(KDEPmean.R*HEIGHT.aR)*(SYSTEMAREA.R*AREAFRAC.w1R)</f>
        <v>#NAME?</v>
      </c>
      <c r="C165" s="317" t="s">
        <v>1089</v>
      </c>
    </row>
    <row r="166" spans="1:3" ht="15" x14ac:dyDescent="0.3">
      <c r="A166" s="317" t="s">
        <v>4446</v>
      </c>
      <c r="B166" s="325" t="e">
        <f>(KDEPmean.R*HEIGHT.aR)*(SYSTEMAREA.R*AREAFRAC.w2R)</f>
        <v>#NAME?</v>
      </c>
      <c r="C166" s="317" t="s">
        <v>1089</v>
      </c>
    </row>
    <row r="167" spans="1:3" ht="15" x14ac:dyDescent="0.3">
      <c r="A167" s="317" t="s">
        <v>4447</v>
      </c>
      <c r="B167" s="318">
        <f>(KDEPmean.T*HEIGHT.aT)*(SYSTEMAREA.T*AREAFRAC.sT)</f>
        <v>309305706614.83539</v>
      </c>
      <c r="C167" s="321" t="s">
        <v>1089</v>
      </c>
    </row>
    <row r="168" spans="1:3" ht="15" x14ac:dyDescent="0.3">
      <c r="A168" s="317" t="s">
        <v>4448</v>
      </c>
      <c r="B168" s="318">
        <f>(KDEPmean.T*HEIGHT.aT)*(SYSTEMAREA.T*AREAFRAC.wT)</f>
        <v>721713315434.61584</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5" x14ac:dyDescent="0.3">
      <c r="A216" s="317" t="s">
        <v>4464</v>
      </c>
      <c r="B216" s="318">
        <f>((kwsd.water.wC*kwsd.sed.sdC)/(kwsd.water.wC+kwsd.sed.sdC))/Ksdw1.C*(SYSTEMAREA.C*AREAFRAC.w1C)</f>
        <v>102.19538982270321</v>
      </c>
      <c r="C216" s="317" t="s">
        <v>1089</v>
      </c>
    </row>
    <row r="217" spans="1:3" ht="15" x14ac:dyDescent="0.3">
      <c r="A217" s="317" t="s">
        <v>4465</v>
      </c>
      <c r="B217" s="318">
        <f>((kwsd.water.wR*kwsd.sed.sdR)/(kwsd.water.wR+kwsd.sed.sdR))/Ksdw1.R*(SYSTEMAREA.R*AREAFRAC.w1R)</f>
        <v>6.7010534768593155</v>
      </c>
      <c r="C217" s="317" t="s">
        <v>1089</v>
      </c>
    </row>
    <row r="218" spans="1:3" ht="15" x14ac:dyDescent="0.3">
      <c r="A218" s="317" t="s">
        <v>4466</v>
      </c>
      <c r="B218" s="318">
        <f>((kwsd.water.wC*kwsd.sed.sdC)/(kwsd.water.wC+kwsd.sed.sdC))/Ksdw2.C*(SYSTEMAREA.C*AREAFRAC.w2C)</f>
        <v>3958.8045820861162</v>
      </c>
      <c r="C218" s="317" t="s">
        <v>1089</v>
      </c>
    </row>
    <row r="219" spans="1:3" ht="15" x14ac:dyDescent="0.3">
      <c r="A219" s="317" t="s">
        <v>4467</v>
      </c>
      <c r="B219" s="318">
        <f>((kwsd.water.wR*kwsd.sed.sdR)/(kwsd.water.wR+kwsd.sed.sdR))/Ksdw2.R*(SYSTEMAREA.R*AREAFRAC.w2R)</f>
        <v>1.0660833525213</v>
      </c>
      <c r="C219" s="317" t="s">
        <v>1089</v>
      </c>
    </row>
    <row r="220" spans="1:3" ht="15" x14ac:dyDescent="0.3">
      <c r="A220" s="317" t="s">
        <v>4468</v>
      </c>
      <c r="B220" s="318">
        <f>((kwsd.water.wA*kwsd.sed.sdA)/(kwsd.water.wA+kwsd.sed.sdA))/Ksdw.A*(SYSTEMAREA.A*AREAFRAC.wA)</f>
        <v>27185.125489293117</v>
      </c>
      <c r="C220" s="321" t="s">
        <v>1089</v>
      </c>
    </row>
    <row r="221" spans="1:3" ht="15" x14ac:dyDescent="0.3">
      <c r="A221" s="317" t="s">
        <v>4469</v>
      </c>
      <c r="B221" s="318">
        <f>((kwsd.water.wM*kwsd.sed.sdM)/(kwsd.water.wM+kwsd.sed.sdM))/Ksdw.M*(SYSTEMAREA.M*AREAFRAC.wM)</f>
        <v>41348.67181671656</v>
      </c>
      <c r="C221" s="321" t="s">
        <v>1089</v>
      </c>
    </row>
    <row r="222" spans="1:3" ht="15" x14ac:dyDescent="0.3">
      <c r="A222" s="317" t="s">
        <v>4470</v>
      </c>
      <c r="B222" s="318">
        <f>((kwsd.water.wT*kwsd.sed.sdT)/(kwsd.water.wT+kwsd.sed.sdT))/Ksdw.T*(SYSTEMAREA.T*AREAFRAC.wT)</f>
        <v>95147.939212525918</v>
      </c>
      <c r="C222" s="321" t="s">
        <v>1089</v>
      </c>
    </row>
    <row r="223" spans="1:3" ht="15" x14ac:dyDescent="0.3">
      <c r="A223" s="317" t="s">
        <v>806</v>
      </c>
      <c r="B223" s="321">
        <f>0.0000257*SQRT(18)/SQRT(Molweight*1000)</f>
        <v>1.0958516820678377E-5</v>
      </c>
      <c r="C223" s="319" t="s">
        <v>807</v>
      </c>
    </row>
    <row r="224" spans="1:3" ht="15" x14ac:dyDescent="0.3">
      <c r="A224" s="317" t="s">
        <v>810</v>
      </c>
      <c r="B224" s="321">
        <f>0.000000002*SQRT(32)/SQRT(Molweight*1000)</f>
        <v>1.1370704872299225E-9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5" x14ac:dyDescent="0.3">
      <c r="A231" s="319" t="s">
        <v>3093</v>
      </c>
      <c r="B231" s="318">
        <f>AEROSOLdeprate.A*(FRaerw.aA+FRaers.aA)</f>
        <v>1E-3</v>
      </c>
      <c r="C231" s="320" t="s">
        <v>1226</v>
      </c>
    </row>
    <row r="232" spans="1:3" ht="15" x14ac:dyDescent="0.3">
      <c r="A232" s="319" t="s">
        <v>2146</v>
      </c>
      <c r="B232" s="318">
        <f>AEROSOLdeprate.C*(FRaerw.aC+FRaers.aC)</f>
        <v>9.9999999999957675E-4</v>
      </c>
      <c r="C232" s="319" t="s">
        <v>1226</v>
      </c>
    </row>
    <row r="233" spans="1:3" ht="15" x14ac:dyDescent="0.3">
      <c r="A233" s="319" t="s">
        <v>2716</v>
      </c>
      <c r="B233" s="318">
        <f>AEROSOLdeprate.M*(FRaerw.aM+FRaers.aM)</f>
        <v>9.9999999999957675E-4</v>
      </c>
      <c r="C233" s="320" t="s">
        <v>1226</v>
      </c>
    </row>
    <row r="234" spans="1:3" ht="15" x14ac:dyDescent="0.3">
      <c r="A234" s="319" t="s">
        <v>1225</v>
      </c>
      <c r="B234" s="318">
        <f>AEROSOLdeprate.R*(FRaerw.aR+FRaers.aR)</f>
        <v>9.9999999999957675E-4</v>
      </c>
      <c r="C234" s="319" t="s">
        <v>1226</v>
      </c>
    </row>
    <row r="235" spans="1:3" ht="15" x14ac:dyDescent="0.3">
      <c r="A235" s="319" t="s">
        <v>3405</v>
      </c>
      <c r="B235" s="318">
        <f>AEROSOLdeprate.T*(FRaerw.aT+FRaers.aT)</f>
        <v>9.9999999999832211E-4</v>
      </c>
      <c r="C235" s="320" t="s">
        <v>1226</v>
      </c>
    </row>
    <row r="236" spans="1:3" ht="15" x14ac:dyDescent="0.3">
      <c r="A236" s="317" t="s">
        <v>4477</v>
      </c>
      <c r="B236" s="321">
        <v>0</v>
      </c>
      <c r="C236" s="317" t="s">
        <v>512</v>
      </c>
    </row>
    <row r="237" spans="1:3" ht="15" x14ac:dyDescent="0.3">
      <c r="A237" s="317" t="s">
        <v>4478</v>
      </c>
      <c r="B237" s="321">
        <v>0</v>
      </c>
      <c r="C237" s="317" t="s">
        <v>512</v>
      </c>
    </row>
    <row r="238" spans="1:3" ht="15" x14ac:dyDescent="0.3">
      <c r="A238" s="317" t="s">
        <v>4479</v>
      </c>
      <c r="B238" s="321">
        <v>0</v>
      </c>
      <c r="C238" s="317" t="s">
        <v>512</v>
      </c>
    </row>
    <row r="239" spans="1:3" ht="15" x14ac:dyDescent="0.3">
      <c r="A239" s="317" t="s">
        <v>4480</v>
      </c>
      <c r="B239" s="321">
        <v>10000</v>
      </c>
      <c r="C239" s="317" t="s">
        <v>512</v>
      </c>
    </row>
    <row r="240" spans="1:3" ht="15" x14ac:dyDescent="0.3">
      <c r="A240" s="317" t="s">
        <v>4481</v>
      </c>
      <c r="B240" s="321">
        <v>0</v>
      </c>
      <c r="C240" s="317" t="s">
        <v>512</v>
      </c>
    </row>
    <row r="241" spans="1:3" ht="15" x14ac:dyDescent="0.3">
      <c r="A241" s="317" t="s">
        <v>4482</v>
      </c>
      <c r="B241" s="321">
        <v>0</v>
      </c>
      <c r="C241" s="317" t="s">
        <v>512</v>
      </c>
    </row>
    <row r="242" spans="1:3" ht="15" x14ac:dyDescent="0.3">
      <c r="A242" s="317" t="s">
        <v>4483</v>
      </c>
      <c r="B242" s="321">
        <v>0</v>
      </c>
      <c r="C242" s="317" t="s">
        <v>512</v>
      </c>
    </row>
    <row r="243" spans="1:3" ht="15" x14ac:dyDescent="0.3">
      <c r="A243" s="317" t="s">
        <v>4484</v>
      </c>
      <c r="B243" s="321">
        <v>0</v>
      </c>
      <c r="C243" s="317" t="s">
        <v>512</v>
      </c>
    </row>
    <row r="244" spans="1:3" ht="15" x14ac:dyDescent="0.3">
      <c r="A244" s="317" t="s">
        <v>4485</v>
      </c>
      <c r="B244" s="321">
        <v>10000</v>
      </c>
      <c r="C244" s="317" t="s">
        <v>512</v>
      </c>
    </row>
    <row r="245" spans="1:3" ht="15" x14ac:dyDescent="0.3">
      <c r="A245" s="317" t="s">
        <v>4486</v>
      </c>
      <c r="B245" s="321">
        <v>0</v>
      </c>
      <c r="C245" s="317" t="s">
        <v>512</v>
      </c>
    </row>
    <row r="246" spans="1:3" ht="15" x14ac:dyDescent="0.3">
      <c r="A246" s="317" t="s">
        <v>4487</v>
      </c>
      <c r="B246" s="321">
        <v>0</v>
      </c>
      <c r="C246" s="317" t="s">
        <v>512</v>
      </c>
    </row>
    <row r="247" spans="1:3" ht="15" x14ac:dyDescent="0.3">
      <c r="A247" s="317" t="s">
        <v>4488</v>
      </c>
      <c r="B247" s="321">
        <v>0</v>
      </c>
      <c r="C247" s="317" t="s">
        <v>512</v>
      </c>
    </row>
    <row r="248" spans="1:3" ht="15" x14ac:dyDescent="0.3">
      <c r="A248" s="317" t="s">
        <v>4489</v>
      </c>
      <c r="B248" s="321">
        <v>0</v>
      </c>
      <c r="C248" s="317" t="s">
        <v>512</v>
      </c>
    </row>
    <row r="249" spans="1:3" ht="15" x14ac:dyDescent="0.3">
      <c r="A249" s="317" t="s">
        <v>4490</v>
      </c>
      <c r="B249" s="321">
        <v>0</v>
      </c>
      <c r="C249" s="317" t="s">
        <v>512</v>
      </c>
    </row>
    <row r="250" spans="1:3" ht="15" x14ac:dyDescent="0.3">
      <c r="A250" s="317" t="s">
        <v>4491</v>
      </c>
      <c r="B250" s="321">
        <v>0</v>
      </c>
      <c r="C250" s="317" t="s">
        <v>512</v>
      </c>
    </row>
    <row r="251" spans="1:3" ht="15" x14ac:dyDescent="0.3">
      <c r="A251" s="317" t="s">
        <v>4492</v>
      </c>
      <c r="B251" s="321">
        <v>10000</v>
      </c>
      <c r="C251" s="317" t="s">
        <v>512</v>
      </c>
    </row>
    <row r="252" spans="1:3" ht="15" x14ac:dyDescent="0.3">
      <c r="A252" s="317" t="s">
        <v>4493</v>
      </c>
      <c r="B252" s="321">
        <v>0</v>
      </c>
      <c r="C252" s="317" t="s">
        <v>512</v>
      </c>
    </row>
    <row r="253" spans="1:3" ht="15" x14ac:dyDescent="0.3">
      <c r="A253" s="317" t="s">
        <v>4494</v>
      </c>
      <c r="B253" s="321">
        <v>0</v>
      </c>
      <c r="C253" s="317" t="s">
        <v>512</v>
      </c>
    </row>
    <row r="254" spans="1:3" ht="15" x14ac:dyDescent="0.3">
      <c r="A254" s="317" t="s">
        <v>4495</v>
      </c>
      <c r="B254" s="321">
        <v>0</v>
      </c>
      <c r="C254" s="317" t="s">
        <v>512</v>
      </c>
    </row>
    <row r="255" spans="1:3" ht="15" x14ac:dyDescent="0.3">
      <c r="A255" s="317" t="s">
        <v>4496</v>
      </c>
      <c r="B255" s="321">
        <v>0</v>
      </c>
      <c r="C255" s="317" t="s">
        <v>512</v>
      </c>
    </row>
    <row r="256" spans="1:3" ht="15" x14ac:dyDescent="0.3">
      <c r="A256" s="317" t="s">
        <v>4497</v>
      </c>
      <c r="B256" s="321">
        <v>0</v>
      </c>
      <c r="C256" s="317" t="s">
        <v>512</v>
      </c>
    </row>
    <row r="257" spans="1:3" x14ac:dyDescent="0.3">
      <c r="A257" s="317" t="s">
        <v>652</v>
      </c>
      <c r="B257" s="321">
        <v>6</v>
      </c>
      <c r="C257" s="317" t="s">
        <v>653</v>
      </c>
    </row>
    <row r="258" spans="1:3" ht="15" x14ac:dyDescent="0.3">
      <c r="A258" s="321" t="s">
        <v>778</v>
      </c>
      <c r="B258" s="321">
        <v>0.03</v>
      </c>
      <c r="C258" s="321" t="s">
        <v>718</v>
      </c>
    </row>
    <row r="259" spans="1:3" ht="15" x14ac:dyDescent="0.3">
      <c r="A259" s="321" t="s">
        <v>730</v>
      </c>
      <c r="B259" s="321">
        <v>0.03</v>
      </c>
      <c r="C259" s="321" t="s">
        <v>718</v>
      </c>
    </row>
    <row r="260" spans="1:3" ht="15" x14ac:dyDescent="0.3">
      <c r="A260" s="319" t="s">
        <v>2205</v>
      </c>
      <c r="B260" s="318">
        <v>0.03</v>
      </c>
      <c r="C260" s="319" t="s">
        <v>2722</v>
      </c>
    </row>
    <row r="261" spans="1:3" ht="15" x14ac:dyDescent="0.3">
      <c r="A261" s="319" t="s">
        <v>1337</v>
      </c>
      <c r="B261" s="318">
        <v>0.03</v>
      </c>
      <c r="C261" s="319" t="s">
        <v>2722</v>
      </c>
    </row>
    <row r="262" spans="1:3" ht="15" x14ac:dyDescent="0.3">
      <c r="A262" s="319" t="s">
        <v>2206</v>
      </c>
      <c r="B262" s="318">
        <v>0.03</v>
      </c>
      <c r="C262" s="319" t="s">
        <v>2722</v>
      </c>
    </row>
    <row r="263" spans="1:3" ht="15" x14ac:dyDescent="0.3">
      <c r="A263" s="319" t="s">
        <v>1339</v>
      </c>
      <c r="B263" s="318">
        <v>0.03</v>
      </c>
      <c r="C263" s="319" t="s">
        <v>2722</v>
      </c>
    </row>
    <row r="264" spans="1:3" ht="15" x14ac:dyDescent="0.3">
      <c r="A264" s="319" t="s">
        <v>2207</v>
      </c>
      <c r="B264" s="318">
        <v>0.03</v>
      </c>
      <c r="C264" s="319" t="s">
        <v>2722</v>
      </c>
    </row>
    <row r="265" spans="1:3" ht="15" x14ac:dyDescent="0.3">
      <c r="A265" s="319" t="s">
        <v>1341</v>
      </c>
      <c r="B265" s="318">
        <v>0.03</v>
      </c>
      <c r="C265" s="319" t="s">
        <v>2722</v>
      </c>
    </row>
    <row r="266" spans="1:3" ht="15" x14ac:dyDescent="0.3">
      <c r="A266" s="319" t="s">
        <v>3124</v>
      </c>
      <c r="B266" s="318">
        <v>0.03</v>
      </c>
      <c r="C266" s="319" t="s">
        <v>2722</v>
      </c>
    </row>
    <row r="267" spans="1:3" ht="15" x14ac:dyDescent="0.3">
      <c r="A267" s="319" t="s">
        <v>2761</v>
      </c>
      <c r="B267" s="318">
        <v>0.03</v>
      </c>
      <c r="C267" s="319" t="s">
        <v>2722</v>
      </c>
    </row>
    <row r="268" spans="1:3" ht="1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55.2" x14ac:dyDescent="0.3">
      <c r="A355" s="321" t="s">
        <v>3054</v>
      </c>
      <c r="B355" s="329" t="s">
        <v>4499</v>
      </c>
      <c r="C355" s="321" t="s">
        <v>314</v>
      </c>
    </row>
    <row r="356" spans="1:3" ht="55.2" x14ac:dyDescent="0.3">
      <c r="A356" s="321" t="s">
        <v>2061</v>
      </c>
      <c r="B356" s="329" t="s">
        <v>4500</v>
      </c>
      <c r="C356" s="321" t="s">
        <v>314</v>
      </c>
    </row>
    <row r="357" spans="1:3" ht="69" x14ac:dyDescent="0.3">
      <c r="A357" s="321" t="s">
        <v>2650</v>
      </c>
      <c r="B357" s="329" t="s">
        <v>4501</v>
      </c>
      <c r="C357" s="321" t="s">
        <v>314</v>
      </c>
    </row>
    <row r="358" spans="1:3" ht="55.2" x14ac:dyDescent="0.3">
      <c r="A358" s="321" t="s">
        <v>1106</v>
      </c>
      <c r="B358" s="329" t="s">
        <v>4502</v>
      </c>
      <c r="C358" s="321" t="s">
        <v>314</v>
      </c>
    </row>
    <row r="359" spans="1:3" ht="55.2"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5" x14ac:dyDescent="0.3">
      <c r="A417" s="317" t="s">
        <v>4515</v>
      </c>
      <c r="B417" s="318">
        <f>FRgas.aA*(MTCas.air.aA*MTCas.soil.sA/(FRorig.s1*MTCas.air.aA*Kaw.A+MTCas.soil.sA))*SYSTEMAREA.A*AREAFRAC.sA</f>
        <v>3.9187833540339249E-7</v>
      </c>
      <c r="C417" s="321" t="s">
        <v>1089</v>
      </c>
    </row>
    <row r="418" spans="1:3" ht="15" x14ac:dyDescent="0.3">
      <c r="A418" s="317" t="s">
        <v>4516</v>
      </c>
      <c r="B418" s="318">
        <f>FRgas.aA*(MTCaw.air.aA*MTCaw.water.wA/(FRorig.w1*MTCaw.air.aA*Kaw.A+MTCaw.water.wA))*SYSTEMAREA.A*AREAFRAC.wA</f>
        <v>2.8523473973984965E-6</v>
      </c>
      <c r="C418" s="321" t="s">
        <v>1089</v>
      </c>
    </row>
    <row r="419" spans="1:3" ht="15" x14ac:dyDescent="0.3">
      <c r="A419" s="317" t="s">
        <v>4517</v>
      </c>
      <c r="B419" s="318">
        <f>FRgas.aC*(MTCas.air.aC*MTCas.soil.sC)/(MTCas.air.aC*((Kaw.C*FRorig.s1w)/Ks1w.C)+MTCas.soil.sC)*(SYSTEMAREA.C*AREAFRAC.s1C)</f>
        <v>4.173999559689108E-4</v>
      </c>
      <c r="C419" s="317" t="s">
        <v>1089</v>
      </c>
    </row>
    <row r="420" spans="1:3" ht="15" x14ac:dyDescent="0.3">
      <c r="A420" s="317" t="s">
        <v>4518</v>
      </c>
      <c r="B420" s="318">
        <f>FRgas.aC*(MTCas.air.aC*MTCas.soil.sC)/(MTCas.air.aC*((Kaw.C*FRorig.s2w)/Ks2w.C)+MTCas.soil.sC)*(SYSTEMAREA.C*AREAFRAC.s2C)</f>
        <v>9.2755545770869044E-4</v>
      </c>
      <c r="C420" s="317" t="s">
        <v>1089</v>
      </c>
    </row>
    <row r="421" spans="1:3" ht="15" x14ac:dyDescent="0.3">
      <c r="A421" s="317" t="s">
        <v>4519</v>
      </c>
      <c r="B421" s="318">
        <f>FRgas.aC*(MTCas.air.aC*MTCas.soil.sC)/(MTCas.air.aC*((Kaw.C*FRorig.s3w)/Ks3w.C)+MTCas.soil.sC)*(SYSTEMAREA.C*AREAFRAC.s3C)</f>
        <v>1.5459257628478172E-4</v>
      </c>
      <c r="C421" s="317" t="s">
        <v>1089</v>
      </c>
    </row>
    <row r="422" spans="1:3" ht="15" x14ac:dyDescent="0.3">
      <c r="A422" s="317" t="s">
        <v>4520</v>
      </c>
      <c r="B422" s="318">
        <f>FRgas.aC*(MTCaw.air.aC*MTCaw.water.wC/(FRorig.w1*MTCaw.air.aC*Kaw.C+MTCaw.water.wC))*SYSTEMAREA.C*AREAFRAC.w0C</f>
        <v>1.8753768401672303E-5</v>
      </c>
      <c r="C422" s="317" t="s">
        <v>1089</v>
      </c>
    </row>
    <row r="423" spans="1:3" ht="15" x14ac:dyDescent="0.3">
      <c r="A423" s="317" t="s">
        <v>4521</v>
      </c>
      <c r="B423" s="318">
        <f>FRgas.aC*(MTCaw.air.aC*MTCaw.water.wC/(FRorig.w1*MTCaw.air.aC*Kaw.C+MTCaw.water.wC))*SYSTEMAREA.C*AREAFRAC.w1C</f>
        <v>2.062914524183953E-4</v>
      </c>
      <c r="C423" s="317" t="s">
        <v>1089</v>
      </c>
    </row>
    <row r="424" spans="1:3" ht="15" x14ac:dyDescent="0.3">
      <c r="A424" s="317" t="s">
        <v>4522</v>
      </c>
      <c r="B424" s="318">
        <f>FRgas.aC*(MTCaw.air.aC*MTCaw.water.wC/(FRorig.w2*MTCaw.air.aC*Kaw.C+MTCaw.water.wC))*SYSTEMAREA.C*AREAFRAC.w2C</f>
        <v>7.9912366741392536E-3</v>
      </c>
      <c r="C424" s="317" t="s">
        <v>1089</v>
      </c>
    </row>
    <row r="425" spans="1:3" ht="15" x14ac:dyDescent="0.3">
      <c r="A425" s="317" t="s">
        <v>4523</v>
      </c>
      <c r="B425" s="318">
        <f>FRgas.aM*(MTCas.air.aM*MTCas.soil.sM/(FRorig.s1*MTCas.air.aM*Kaw.M+MTCas.soil.sM))*SYSTEMAREA.M*AREAFRAC.sM</f>
        <v>1.7200916505443673E-2</v>
      </c>
      <c r="C425" s="321" t="s">
        <v>1089</v>
      </c>
    </row>
    <row r="426" spans="1:3" ht="15" x14ac:dyDescent="0.3">
      <c r="A426" s="317" t="s">
        <v>4524</v>
      </c>
      <c r="B426" s="318">
        <f>FRgas.aM*(MTCaw.air.aM*MTCaw.water.wM/(FRorig.w1*MTCaw.air.aM*Kaw.M+MTCaw.water.wM))*SYSTEMAREA.M*AREAFRAC.wM</f>
        <v>8.3466363594682166E-2</v>
      </c>
      <c r="C426" s="321" t="s">
        <v>1089</v>
      </c>
    </row>
    <row r="427" spans="1:3" ht="15" x14ac:dyDescent="0.3">
      <c r="A427" s="317" t="s">
        <v>4525</v>
      </c>
      <c r="B427" s="318">
        <v>7.8792811842481737E-5</v>
      </c>
      <c r="C427" s="317" t="s">
        <v>1089</v>
      </c>
    </row>
    <row r="428" spans="1:3" ht="15" x14ac:dyDescent="0.3">
      <c r="A428" s="317" t="s">
        <v>4526</v>
      </c>
      <c r="B428" s="318">
        <v>1.7509513742773714E-4</v>
      </c>
      <c r="C428" s="317" t="s">
        <v>1089</v>
      </c>
    </row>
    <row r="429" spans="1:3" ht="15" x14ac:dyDescent="0.3">
      <c r="A429" s="317" t="s">
        <v>4527</v>
      </c>
      <c r="B429" s="318">
        <v>2.918252290462286E-5</v>
      </c>
      <c r="C429" s="317" t="s">
        <v>1089</v>
      </c>
    </row>
    <row r="430" spans="1:3" ht="15" x14ac:dyDescent="0.3">
      <c r="A430" s="317" t="s">
        <v>4528</v>
      </c>
      <c r="B430" s="318">
        <v>3.4399598469625707E-6</v>
      </c>
      <c r="C430" s="317" t="s">
        <v>1089</v>
      </c>
    </row>
    <row r="431" spans="1:3" ht="15" x14ac:dyDescent="0.3">
      <c r="A431" s="317" t="s">
        <v>4529</v>
      </c>
      <c r="B431" s="318">
        <v>3.7839558316588276E-5</v>
      </c>
      <c r="C431" s="317" t="s">
        <v>1089</v>
      </c>
    </row>
    <row r="432" spans="1:3" ht="15" x14ac:dyDescent="0.3">
      <c r="A432" s="317" t="s">
        <v>4530</v>
      </c>
      <c r="B432" s="318">
        <v>6.0199673569804861E-6</v>
      </c>
      <c r="C432" s="317" t="s">
        <v>1089</v>
      </c>
    </row>
    <row r="433" spans="1:3" ht="15" x14ac:dyDescent="0.3">
      <c r="A433" s="317" t="s">
        <v>4531</v>
      </c>
      <c r="B433" s="318">
        <f>FRgas.aT*(MTCas.air.aT*MTCas.soil.sT/(FRorig.s1*MTCas.air.aT*Kaw.T+MTCas.soil.sT))*SYSTEMAREA.T*AREAFRAC.sT</f>
        <v>6.7243979892602973E-2</v>
      </c>
      <c r="C433" s="321" t="s">
        <v>1089</v>
      </c>
    </row>
    <row r="434" spans="1:3" ht="15" x14ac:dyDescent="0.3">
      <c r="A434" s="317" t="s">
        <v>4532</v>
      </c>
      <c r="B434" s="318">
        <f>FRgas.aT*(MTCaw.air.aT*MTCaw.water.wT/(FRorig.w1*MTCaw.air.aT*Kaw.T+MTCaw.water.wT))*SYSTEMAREA.T*AREAFRAC.wT</f>
        <v>0.76136015619574193</v>
      </c>
      <c r="C434" s="321" t="s">
        <v>1089</v>
      </c>
    </row>
    <row r="435" spans="1:3" ht="15" x14ac:dyDescent="0.3">
      <c r="A435" s="317" t="s">
        <v>3095</v>
      </c>
      <c r="B435" s="318">
        <f>FRgas.aA*(tdry.A+twet.A)/twet.A*RAINrate.A/((Kaw.A*FRorig.cldw)+0.0000000555)</f>
        <v>5.2375767251035293E-17</v>
      </c>
      <c r="C435" s="319" t="s">
        <v>1226</v>
      </c>
    </row>
    <row r="436" spans="1:3" ht="15" x14ac:dyDescent="0.3">
      <c r="A436" s="317" t="s">
        <v>2149</v>
      </c>
      <c r="B436" s="318">
        <f>FRgas.aC*(tdry.C+twet.C)/twet.C*RAINrate.C/((Kaw.C*FRorig.cldw)+0.0000000555)</f>
        <v>2.8214170191580335E-12</v>
      </c>
      <c r="C436" s="319" t="s">
        <v>1226</v>
      </c>
    </row>
    <row r="437" spans="1:3" ht="15" x14ac:dyDescent="0.3">
      <c r="A437" s="317" t="s">
        <v>2718</v>
      </c>
      <c r="B437" s="318">
        <f>FRgas.aM*(tdry.M+twet.M)/twet.M*RAINrate.M/((Kaw.M*FRorig.cldw)+0.0000000555)</f>
        <v>2.8214170191580335E-12</v>
      </c>
      <c r="C437" s="319" t="s">
        <v>1226</v>
      </c>
    </row>
    <row r="438" spans="1:3" ht="15" x14ac:dyDescent="0.3">
      <c r="A438" s="317" t="s">
        <v>4533</v>
      </c>
      <c r="B438" s="318">
        <v>7.928709494231241E-12</v>
      </c>
      <c r="C438" s="319" t="s">
        <v>1226</v>
      </c>
    </row>
    <row r="439" spans="1:3" ht="15" x14ac:dyDescent="0.3">
      <c r="A439" s="317" t="s">
        <v>3407</v>
      </c>
      <c r="B439" s="318">
        <f>FRgas.aT*(tdry.T+twet.T)/twet.T*RAINrate.T/((Kaw.T*FRorig.cldw)+0.0000000555)</f>
        <v>2.0770809567657515E-11</v>
      </c>
      <c r="C439" s="319" t="s">
        <v>1226</v>
      </c>
    </row>
    <row r="440" spans="1:3" ht="15" x14ac:dyDescent="0.3">
      <c r="A440" s="319" t="s">
        <v>2185</v>
      </c>
      <c r="B440" s="318">
        <f>IF(SETTLvelocity.C*SUSP.w1C/(FRACs.sdC*RHOsolid)&gt;NETsedrate.w1C,SETTLvelocity.C*SUSP.w1C/(FRACs.sdC*RHOsolid),NETsedrate.w1C)</f>
        <v>8.8231257485029977E-10</v>
      </c>
      <c r="C440" s="319" t="s">
        <v>1226</v>
      </c>
    </row>
    <row r="441" spans="1:3" ht="15" x14ac:dyDescent="0.3">
      <c r="A441" s="319" t="s">
        <v>1293</v>
      </c>
      <c r="B441" s="318">
        <f>IF(SETTLvelocity.R*SUSP.w1R/(FRACs.sdR*RHOsolid)&gt;NETsedrate.w1R,SETTLvelocity.R*SUSP.w1R/(FRACs.sdR*RHOsolid),NETsedrate.w1R)</f>
        <v>8.8231257485029977E-10</v>
      </c>
      <c r="C441" s="319" t="s">
        <v>1226</v>
      </c>
    </row>
    <row r="442" spans="1:3" ht="15" x14ac:dyDescent="0.3">
      <c r="A442" s="319" t="s">
        <v>2186</v>
      </c>
      <c r="B442" s="318">
        <f>IF(SETTLvelocity.C*SUSP.w2C/(FRACs.sdC*RHOsolid)&gt;NETsedrate.w2C,SETTLvelocity.C*SUSP.w2C/(FRACs.sdC*RHOsolid),NETsedrate.w2C)</f>
        <v>2.9410419161676659E-10</v>
      </c>
      <c r="C442" s="319" t="s">
        <v>1226</v>
      </c>
    </row>
    <row r="443" spans="1:3" ht="15" x14ac:dyDescent="0.3">
      <c r="A443" s="319" t="s">
        <v>1295</v>
      </c>
      <c r="B443" s="318">
        <f>IF(SETTLvelocity.R*SUSP.w2R/(FRACs.sdR*RHOsolid)&gt;NETsedrate.w2R,SETTLvelocity.R*SUSP.w2R/(FRACs.sdR*RHOsolid),NETsedrate.w2R)</f>
        <v>2.9410419161676659E-10</v>
      </c>
      <c r="C443" s="319" t="s">
        <v>1226</v>
      </c>
    </row>
    <row r="444" spans="1:3" ht="15" x14ac:dyDescent="0.3">
      <c r="A444" s="319" t="s">
        <v>3113</v>
      </c>
      <c r="B444" s="318">
        <f>IF(SETTLvelocity.A*SUSP.w3A/(FRACs.sdA*RHOsolid)&gt;NETsedrate.wA,SETTLvelocity.A*SUSP.w3A/(FRACs.sdA*RHOsolid),NETsedrate.wA)</f>
        <v>2.9410419161676659E-10</v>
      </c>
      <c r="C444" s="320" t="s">
        <v>1226</v>
      </c>
    </row>
    <row r="445" spans="1:3" ht="15" x14ac:dyDescent="0.3">
      <c r="A445" s="319" t="s">
        <v>2745</v>
      </c>
      <c r="B445" s="318">
        <f>IF(SETTLvelocity.M*SUSP.w3M/(FRACs.sdM*RHOsolid)&gt;NETsedrate.wM,SETTLvelocity.M*SUSP.w3M/(FRACs.sdM*RHOsolid),NETsedrate.wM)</f>
        <v>2.9410419161676659E-10</v>
      </c>
      <c r="C445" s="320" t="s">
        <v>1226</v>
      </c>
    </row>
    <row r="446" spans="1:3" ht="15" x14ac:dyDescent="0.3">
      <c r="A446" s="319" t="s">
        <v>3425</v>
      </c>
      <c r="B446" s="318">
        <f>IF(SETTLvelocity.T*SUSP.w3T/(FRACs.sdT*RHOsolid)&gt;NETsedrate.wT,SETTLvelocity.T*SUSP.w3T/(FRACs.sdT*RHOsolid),NETsedrate.wT)</f>
        <v>2.9410419161676659E-10</v>
      </c>
      <c r="C446" s="320" t="s">
        <v>1226</v>
      </c>
    </row>
    <row r="447" spans="1:3" ht="15" x14ac:dyDescent="0.3">
      <c r="A447" s="317" t="s">
        <v>607</v>
      </c>
      <c r="B447" s="321">
        <v>10</v>
      </c>
      <c r="C447" s="317" t="s">
        <v>600</v>
      </c>
    </row>
    <row r="448" spans="1:3" ht="1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5" x14ac:dyDescent="0.3">
      <c r="A455" s="317" t="s">
        <v>4536</v>
      </c>
      <c r="B455" s="318">
        <f>kesc.aA+FRgas.aA*kdegG.air*(C.OHrad.aA/C.OHrad)*Tempfactor.aA</f>
        <v>3.663258818281463E-10</v>
      </c>
      <c r="C455" s="317" t="s">
        <v>642</v>
      </c>
    </row>
    <row r="456" spans="1:3" ht="15" x14ac:dyDescent="0.3">
      <c r="A456" s="317" t="s">
        <v>3037</v>
      </c>
      <c r="B456" s="318">
        <f>1/TAU.aA</f>
        <v>6.9234185224561193E-7</v>
      </c>
      <c r="C456" s="317" t="s">
        <v>642</v>
      </c>
    </row>
    <row r="457" spans="1:3" ht="15" x14ac:dyDescent="0.3">
      <c r="A457" s="317" t="s">
        <v>4537</v>
      </c>
      <c r="B457" s="318" t="e">
        <f>(DEPflow.aA.sA+GASABSflow.aA.sA)/VOLUME.aA</f>
        <v>#NAME?</v>
      </c>
      <c r="C457" s="317" t="s">
        <v>642</v>
      </c>
    </row>
    <row r="458" spans="1:3" ht="15" x14ac:dyDescent="0.3">
      <c r="A458" s="317" t="s">
        <v>4538</v>
      </c>
      <c r="B458" s="318" t="e">
        <f>(DEPflow.aA.w2A+GASABSflow.aA.w2A)/VOLUME.aA</f>
        <v>#NAME?</v>
      </c>
      <c r="C458" s="317" t="s">
        <v>642</v>
      </c>
    </row>
    <row r="459" spans="1:3" ht="15" x14ac:dyDescent="0.3">
      <c r="A459" s="317" t="s">
        <v>2214</v>
      </c>
      <c r="B459" s="318">
        <f>kesc.aC+FRgas.aC*kdegG.air*(C.OHrad.aC/C.OHrad)*Tempfactor.aC</f>
        <v>3.663258818281463E-10</v>
      </c>
      <c r="C459" s="317" t="s">
        <v>642</v>
      </c>
    </row>
    <row r="460" spans="1:3" ht="15" x14ac:dyDescent="0.3">
      <c r="A460" s="317" t="s">
        <v>2022</v>
      </c>
      <c r="B460" s="318" t="e">
        <f>1/TAU.aC-AIRflow.aC.aR /VOLUME.aC</f>
        <v>#NAME?</v>
      </c>
      <c r="C460" s="317" t="s">
        <v>642</v>
      </c>
    </row>
    <row r="461" spans="1:3" ht="15" x14ac:dyDescent="0.3">
      <c r="A461" s="317" t="s">
        <v>2020</v>
      </c>
      <c r="B461" s="318" t="e">
        <f>AIRflow.aR.aC/VOLUME.aC</f>
        <v>#NAME?</v>
      </c>
      <c r="C461" s="317" t="s">
        <v>642</v>
      </c>
    </row>
    <row r="462" spans="1:3" ht="15" x14ac:dyDescent="0.3">
      <c r="A462" s="317" t="s">
        <v>4539</v>
      </c>
      <c r="B462" s="318" t="e">
        <f>(DEPflow.aC.s1C+GASABSflow.aC.s1C)/VOLUME.aC</f>
        <v>#NAME?</v>
      </c>
      <c r="C462" s="317" t="s">
        <v>642</v>
      </c>
    </row>
    <row r="463" spans="1:3" ht="15" x14ac:dyDescent="0.3">
      <c r="A463" s="317" t="s">
        <v>4540</v>
      </c>
      <c r="B463" s="318" t="e">
        <f>(DEPflow.aC.s2C+GASABSflow.aC.s2C)/VOLUME.aC</f>
        <v>#NAME?</v>
      </c>
      <c r="C463" s="317" t="s">
        <v>642</v>
      </c>
    </row>
    <row r="464" spans="1:3" ht="15" x14ac:dyDescent="0.3">
      <c r="A464" s="317" t="s">
        <v>4541</v>
      </c>
      <c r="B464" s="318" t="e">
        <f>(DEPflow.aC.s3C+GASABSflow.aC.s3C)/VOLUME.aC</f>
        <v>#NAME?</v>
      </c>
      <c r="C464" s="317" t="s">
        <v>642</v>
      </c>
    </row>
    <row r="465" spans="1:3" ht="15" x14ac:dyDescent="0.3">
      <c r="A465" s="317" t="s">
        <v>4542</v>
      </c>
      <c r="B465" s="318" t="e">
        <f>(DEPflow.aC.w0C+GASABSflow.aC.w0C)/VOLUME.aC</f>
        <v>#NAME?</v>
      </c>
      <c r="C465" s="317" t="s">
        <v>642</v>
      </c>
    </row>
    <row r="466" spans="1:3" ht="15" x14ac:dyDescent="0.3">
      <c r="A466" s="317" t="s">
        <v>4543</v>
      </c>
      <c r="B466" s="318" t="e">
        <f>(DEPflow.aC.w1C+GASABSflow.aC.w1C)/VOLUME.aC</f>
        <v>#NAME?</v>
      </c>
      <c r="C466" s="317" t="s">
        <v>642</v>
      </c>
    </row>
    <row r="467" spans="1:3" ht="15" x14ac:dyDescent="0.3">
      <c r="A467" s="317" t="s">
        <v>4544</v>
      </c>
      <c r="B467" s="318" t="e">
        <f>(DEPflow.aC.w2C+GASABSflow.aC.w2C)/VOLUME.aC</f>
        <v>#NAME?</v>
      </c>
      <c r="C467" s="317" t="s">
        <v>642</v>
      </c>
    </row>
    <row r="468" spans="1:3" ht="15" x14ac:dyDescent="0.3">
      <c r="A468" s="317" t="s">
        <v>4545</v>
      </c>
      <c r="B468" s="318">
        <f>kesc.aM+FRgas.aM*kdegG.air*(C.OHrad.aM/C.OHrad)*Tempfactor.aM</f>
        <v>3.663258818281463E-10</v>
      </c>
      <c r="C468" s="317" t="s">
        <v>642</v>
      </c>
    </row>
    <row r="469" spans="1:3" ht="15" x14ac:dyDescent="0.3">
      <c r="A469" s="317" t="s">
        <v>2618</v>
      </c>
      <c r="B469" s="318" t="e">
        <f>AIRflow.aA.aM/VOLUME.aM</f>
        <v>#NAME?</v>
      </c>
      <c r="C469" s="317" t="s">
        <v>642</v>
      </c>
    </row>
    <row r="470" spans="1:3" ht="15" x14ac:dyDescent="0.3">
      <c r="A470" s="317" t="s">
        <v>2616</v>
      </c>
      <c r="B470" s="318" t="e">
        <f>AIRflow.aC.aM/VOLUME.aM</f>
        <v>#NAME?</v>
      </c>
      <c r="C470" s="317" t="s">
        <v>642</v>
      </c>
    </row>
    <row r="471" spans="1:3" ht="15" x14ac:dyDescent="0.3">
      <c r="A471" s="317" t="s">
        <v>2620</v>
      </c>
      <c r="B471" s="318" t="e">
        <f>AIRflow.aT.aM/VOLUME.aM</f>
        <v>#NAME?</v>
      </c>
      <c r="C471" s="317" t="s">
        <v>642</v>
      </c>
    </row>
    <row r="472" spans="1:3" ht="15" x14ac:dyDescent="0.3">
      <c r="A472" s="317" t="s">
        <v>4546</v>
      </c>
      <c r="B472" s="318" t="e">
        <f>(DEPflow.aM.sM+GASABSflow.aM.sM)/VOLUME.aM</f>
        <v>#NAME?</v>
      </c>
      <c r="C472" s="317" t="s">
        <v>642</v>
      </c>
    </row>
    <row r="473" spans="1:3" ht="15" x14ac:dyDescent="0.3">
      <c r="A473" s="317" t="s">
        <v>4547</v>
      </c>
      <c r="B473" s="318" t="e">
        <f>(DEPflow.aM.w2M+GASABSflow.aM.w2M)/VOLUME.aM</f>
        <v>#NAME?</v>
      </c>
      <c r="C473" s="317" t="s">
        <v>642</v>
      </c>
    </row>
    <row r="474" spans="1:3" ht="15" x14ac:dyDescent="0.3">
      <c r="A474" s="317" t="s">
        <v>4548</v>
      </c>
      <c r="B474" s="318">
        <f>kesc.aR+FRgas.aR*kdegG.air*(C.OHrad.aR/C.OHrad)*Tempfactor.aR</f>
        <v>3.663258818281463E-10</v>
      </c>
      <c r="C474" s="317" t="s">
        <v>642</v>
      </c>
    </row>
    <row r="475" spans="1:3" ht="15" x14ac:dyDescent="0.3">
      <c r="A475" s="317" t="s">
        <v>1071</v>
      </c>
      <c r="B475" s="318">
        <f>1/TAU.aR</f>
        <v>9.4201427396491372E-6</v>
      </c>
      <c r="C475" s="317" t="s">
        <v>642</v>
      </c>
    </row>
    <row r="476" spans="1:3" ht="15" x14ac:dyDescent="0.3">
      <c r="A476" s="317" t="s">
        <v>4549</v>
      </c>
      <c r="B476" s="325" t="e">
        <f>(DEPflow.aR.s1R+GASABSflow.aR.s1R)/VOLUME.aR</f>
        <v>#NAME?</v>
      </c>
      <c r="C476" s="317" t="s">
        <v>642</v>
      </c>
    </row>
    <row r="477" spans="1:3" ht="15" x14ac:dyDescent="0.3">
      <c r="A477" s="317" t="s">
        <v>4550</v>
      </c>
      <c r="B477" s="325" t="e">
        <f>(DEPflow.aR.s2R+GASABSflow.aR.s2R)/VOLUME.aR</f>
        <v>#NAME?</v>
      </c>
      <c r="C477" s="317" t="s">
        <v>642</v>
      </c>
    </row>
    <row r="478" spans="1:3" ht="15" x14ac:dyDescent="0.3">
      <c r="A478" s="317" t="s">
        <v>4551</v>
      </c>
      <c r="B478" s="325" t="e">
        <f>(DEPflow.aR.s3R+GASABSflow.aR.s3R)/VOLUME.aR</f>
        <v>#NAME?</v>
      </c>
      <c r="C478" s="317" t="s">
        <v>642</v>
      </c>
    </row>
    <row r="479" spans="1:3" ht="15" x14ac:dyDescent="0.3">
      <c r="A479" s="317" t="s">
        <v>4552</v>
      </c>
      <c r="B479" s="325" t="e">
        <f>(DEPflow.aR.w0R+GASABSflow.aR.w0R)/VOLUME.aR</f>
        <v>#NAME?</v>
      </c>
      <c r="C479" s="317" t="s">
        <v>642</v>
      </c>
    </row>
    <row r="480" spans="1:3" ht="15" x14ac:dyDescent="0.3">
      <c r="A480" s="317" t="s">
        <v>4553</v>
      </c>
      <c r="B480" s="325" t="e">
        <f>(DEPflow.aR.w1R+GASABSflow.aR.w1R)/VOLUME.aR</f>
        <v>#NAME?</v>
      </c>
      <c r="C480" s="317" t="s">
        <v>642</v>
      </c>
    </row>
    <row r="481" spans="1:3" ht="15" x14ac:dyDescent="0.3">
      <c r="A481" s="317" t="s">
        <v>4554</v>
      </c>
      <c r="B481" s="325" t="e">
        <f>(DEPflow.aR.w2R+GASABSflow.aR.w2R)/VOLUME.aR</f>
        <v>#NAME?</v>
      </c>
      <c r="C481" s="317" t="s">
        <v>642</v>
      </c>
    </row>
    <row r="482" spans="1:3" ht="15" x14ac:dyDescent="0.3">
      <c r="A482" s="317" t="s">
        <v>4555</v>
      </c>
      <c r="B482" s="325">
        <f>kesc.aT+FRgas.aT*kdegG.air*(C.OHrad.aT/C.OHrad)*Tempfactor.aT</f>
        <v>3.663258818281463E-10</v>
      </c>
      <c r="C482" s="317" t="s">
        <v>642</v>
      </c>
    </row>
    <row r="483" spans="1:3" ht="15" x14ac:dyDescent="0.3">
      <c r="A483" s="317" t="s">
        <v>3354</v>
      </c>
      <c r="B483" s="318">
        <f>1/TAU.aT</f>
        <v>3.9972375476524815E-7</v>
      </c>
      <c r="C483" s="317" t="s">
        <v>642</v>
      </c>
    </row>
    <row r="484" spans="1:3" ht="15" x14ac:dyDescent="0.3">
      <c r="A484" s="317" t="s">
        <v>4556</v>
      </c>
      <c r="B484" s="318" t="e">
        <f>(DEPflow.aT.sT+GASABSflow.aT.sT)/VOLUME.aT</f>
        <v>#NAME?</v>
      </c>
      <c r="C484" s="317" t="s">
        <v>642</v>
      </c>
    </row>
    <row r="485" spans="1:3" ht="15" x14ac:dyDescent="0.3">
      <c r="A485" s="317" t="s">
        <v>4557</v>
      </c>
      <c r="B485" s="318" t="e">
        <f>(DEPflow.aT.w2T+GASABSflow.aT.w2T)/VOLUME.aT</f>
        <v>#NAME?</v>
      </c>
      <c r="C485" s="317" t="s">
        <v>642</v>
      </c>
    </row>
    <row r="486" spans="1:3" ht="15" x14ac:dyDescent="0.3">
      <c r="A486" s="317" t="s">
        <v>2221</v>
      </c>
      <c r="B486" s="318">
        <f>Tempfactor.wsdsC*kdeg.soil+FRACinf.s1C*RAINrate.C/Ks1w.C*CORRleach.s1C*SYSTEMAREA.C*AREAFRAC.s1C/VOLUME.s1C</f>
        <v>3.1466381043321181E-11</v>
      </c>
      <c r="C486" s="317" t="s">
        <v>642</v>
      </c>
    </row>
    <row r="487" spans="1:3" ht="15" x14ac:dyDescent="0.3">
      <c r="A487" s="317" t="s">
        <v>4558</v>
      </c>
      <c r="B487" s="318" t="e">
        <f>VOLATflow.s1C.aC/VOLUME.s1C</f>
        <v>#NAME?</v>
      </c>
      <c r="C487" s="317" t="s">
        <v>642</v>
      </c>
    </row>
    <row r="488" spans="1:3" ht="15" x14ac:dyDescent="0.3">
      <c r="A488" s="317" t="s">
        <v>4559</v>
      </c>
      <c r="B488" s="318">
        <f>(RAINrate.C*FRACrun.s1C/Ks1w.C+EROSION.s1C)*CORRrunoff.s1C * (SYSTEMAREA.C*AREAFRAC.s1C/VOLUME.s1C)</f>
        <v>4.6941418162982244E-9</v>
      </c>
      <c r="C488" s="317" t="s">
        <v>642</v>
      </c>
    </row>
    <row r="489" spans="1:3" ht="15" x14ac:dyDescent="0.3">
      <c r="A489" s="317" t="s">
        <v>4560</v>
      </c>
      <c r="B489" s="318">
        <f>Tempfactor.wsdsR*kdeg.soil+FRACinf.s1R*RAINrate.R/Ks1w.R*CORRleach.s1R*SYSTEMAREA.R*AREAFRAC.s1R/VOLUME.s1R</f>
        <v>3.1466381043321187E-11</v>
      </c>
      <c r="C489" s="317" t="s">
        <v>642</v>
      </c>
    </row>
    <row r="490" spans="1:3" ht="15" x14ac:dyDescent="0.3">
      <c r="A490" s="317" t="s">
        <v>4561</v>
      </c>
      <c r="B490" s="318" t="e">
        <f>VOLATflow.s1R.aR/VOLUME.s1R</f>
        <v>#NAME?</v>
      </c>
      <c r="C490" s="317" t="s">
        <v>642</v>
      </c>
    </row>
    <row r="491" spans="1:3" ht="15" x14ac:dyDescent="0.3">
      <c r="A491" s="317" t="s">
        <v>4562</v>
      </c>
      <c r="B491" s="318">
        <f>(RAINrate.R*FRACrun.s1R/Ks1w.R+EROSION.s1R)*CORRrunoff.s1R * (SYSTEMAREA.R*AREAFRAC.s1R/VOLUME.s1R)</f>
        <v>4.6941418162982244E-9</v>
      </c>
      <c r="C491" s="317" t="s">
        <v>642</v>
      </c>
    </row>
    <row r="492" spans="1:3" ht="15" x14ac:dyDescent="0.3">
      <c r="A492" s="317" t="s">
        <v>2222</v>
      </c>
      <c r="B492" s="318">
        <f>Tempfactor.wsdsC*kdeg.soil+FRACinf.s2C*RAINrate.C/Ks2w.C*CORRleach.s2C*SYSTEMAREA.C*AREAFRAC.s2C/VOLUME.s2C</f>
        <v>1.4319131236762864E-11</v>
      </c>
      <c r="C492" s="317" t="s">
        <v>642</v>
      </c>
    </row>
    <row r="493" spans="1:3" ht="15" x14ac:dyDescent="0.3">
      <c r="A493" s="317" t="s">
        <v>4563</v>
      </c>
      <c r="B493" s="318" t="e">
        <f>VOLATflow.s2C.aC/VOLUME.s2C</f>
        <v>#NAME?</v>
      </c>
      <c r="C493" s="317" t="s">
        <v>642</v>
      </c>
    </row>
    <row r="494" spans="1:3" ht="15" x14ac:dyDescent="0.3">
      <c r="A494" s="317" t="s">
        <v>4564</v>
      </c>
      <c r="B494" s="318">
        <f>(RAINrate.C*FRACrun.s2C/Ks2w.C+EROSION.s2C)*CORRrunoff.s2C * (SYSTEMAREA.C*AREAFRAC.s2C/VOLUME.s2C)</f>
        <v>2.1360891081434388E-9</v>
      </c>
      <c r="C494" s="317" t="s">
        <v>642</v>
      </c>
    </row>
    <row r="495" spans="1:3" ht="15" x14ac:dyDescent="0.3">
      <c r="A495" s="317" t="s">
        <v>4565</v>
      </c>
      <c r="B495" s="318">
        <f>Tempfactor.wsdsR*kdeg.soil+FRACinf.s2R*RAINrate.R/Ks2w.R*CORRleach.s2R*SYSTEMAREA.R*AREAFRAC.s2R/VOLUME.s2R</f>
        <v>1.4319131236762864E-11</v>
      </c>
      <c r="C495" s="317" t="s">
        <v>642</v>
      </c>
    </row>
    <row r="496" spans="1:3" ht="15" x14ac:dyDescent="0.3">
      <c r="A496" s="317" t="s">
        <v>4566</v>
      </c>
      <c r="B496" s="318" t="e">
        <f>VOLATflow.s2R.aR/VOLUME.s2R</f>
        <v>#NAME?</v>
      </c>
      <c r="C496" s="317" t="s">
        <v>642</v>
      </c>
    </row>
    <row r="497" spans="1:3" ht="15" x14ac:dyDescent="0.3">
      <c r="A497" s="317" t="s">
        <v>4567</v>
      </c>
      <c r="B497" s="318">
        <f>(RAINrate.R*FRACrun.s2R/Ks2w.R+EROSION.s2R)*CORRrunoff.s2R * (SYSTEMAREA.R*AREAFRAC.s2R/VOLUME.s2R)</f>
        <v>2.1360891081434384E-9</v>
      </c>
      <c r="C497" s="317" t="s">
        <v>642</v>
      </c>
    </row>
    <row r="498" spans="1:3" ht="15" x14ac:dyDescent="0.3">
      <c r="A498" s="317" t="s">
        <v>2223</v>
      </c>
      <c r="B498" s="318">
        <f>Tempfactor.wsdsC*kdeg.soil+FRACinf.s3C*RAINrate.C/Ks3w.C*CORRleach.s3C*SYSTEMAREA.C*AREAFRAC.s3C/VOLUME.s3C</f>
        <v>3.1466381043321187E-11</v>
      </c>
      <c r="C498" s="317" t="s">
        <v>642</v>
      </c>
    </row>
    <row r="499" spans="1:3" ht="15" x14ac:dyDescent="0.3">
      <c r="A499" s="317" t="s">
        <v>4568</v>
      </c>
      <c r="B499" s="318" t="e">
        <f>VOLATflow.s3C.aC/VOLUME.s3C</f>
        <v>#NAME?</v>
      </c>
      <c r="C499" s="317" t="s">
        <v>642</v>
      </c>
    </row>
    <row r="500" spans="1:3" ht="15" x14ac:dyDescent="0.3">
      <c r="A500" s="317" t="s">
        <v>4569</v>
      </c>
      <c r="B500" s="318">
        <f>(RAINrate.C*FRACrun.s3C/Ks3w.C+EROSION.s3C)*CORRrunoff.s3C * (SYSTEMAREA.C*AREAFRAC.s3C/VOLUME.s3C)</f>
        <v>4.6941418162982244E-9</v>
      </c>
      <c r="C500" s="317" t="s">
        <v>642</v>
      </c>
    </row>
    <row r="501" spans="1:3" ht="15" x14ac:dyDescent="0.3">
      <c r="A501" s="317" t="s">
        <v>4570</v>
      </c>
      <c r="B501" s="318">
        <f>Tempfactor.wsdsR*kdeg.soil+FRACinf.s3R*RAINrate.R/Ks3w.R*CORRleach.s3R*SYSTEMAREA.R*AREAFRAC.s3R/VOLUME.s3R</f>
        <v>3.1466381043321187E-11</v>
      </c>
      <c r="C501" s="317" t="s">
        <v>642</v>
      </c>
    </row>
    <row r="502" spans="1:3" ht="15" x14ac:dyDescent="0.3">
      <c r="A502" s="317" t="s">
        <v>4571</v>
      </c>
      <c r="B502" s="318" t="e">
        <f>VOLATflow.s3R.aR/VOLUME.s3R</f>
        <v>#NAME?</v>
      </c>
      <c r="C502" s="317" t="s">
        <v>642</v>
      </c>
    </row>
    <row r="503" spans="1:3" ht="15" x14ac:dyDescent="0.3">
      <c r="A503" s="317" t="s">
        <v>4572</v>
      </c>
      <c r="B503" s="318">
        <f>(RAINrate.R*FRACrun.s3R/Ks3w.R+EROSION.s3R)*CORRrunoff.s3R * (SYSTEMAREA.R*AREAFRAC.s3R/VOLUME.s3R)</f>
        <v>4.6941418162982244E-9</v>
      </c>
      <c r="C503" s="317" t="s">
        <v>642</v>
      </c>
    </row>
    <row r="504" spans="1:3" ht="15" x14ac:dyDescent="0.3">
      <c r="A504" s="317" t="s">
        <v>4573</v>
      </c>
      <c r="B504" s="318">
        <f>Tempfactor.wsdsA*kdeg.soil+FRACinf.sA*RAINrate.A/Kslw.A*CORRleach.sA*SYSTEMAREA.A*AREAFRAC.sA/VOLUME.sA</f>
        <v>1.1237936573034438E-11</v>
      </c>
      <c r="C504" s="317" t="s">
        <v>642</v>
      </c>
    </row>
    <row r="505" spans="1:3" ht="15" x14ac:dyDescent="0.3">
      <c r="A505" s="317" t="s">
        <v>4574</v>
      </c>
      <c r="B505" s="318" t="e">
        <f>VOLATflow.sA.aA/VOLUME.sA</f>
        <v>#NAME?</v>
      </c>
      <c r="C505" s="317" t="s">
        <v>642</v>
      </c>
    </row>
    <row r="506" spans="1:3" ht="15" x14ac:dyDescent="0.3">
      <c r="A506" s="317" t="s">
        <v>4575</v>
      </c>
      <c r="B506" s="318">
        <f>(RAINrate.A*FRACrun.sA/Kslw.A+EROSION.sA)*CORRrunoff.sA * (SYSTEMAREA.A*AREAFRAC.sA/VOLUME.sA)</f>
        <v>1.6920216252100849E-9</v>
      </c>
      <c r="C506" s="317" t="s">
        <v>642</v>
      </c>
    </row>
    <row r="507" spans="1:3" ht="15" x14ac:dyDescent="0.3">
      <c r="A507" s="317" t="s">
        <v>2219</v>
      </c>
      <c r="B507" s="318">
        <f>Tempfactor.wsdsC*kdeg.sed+NETsedrate.w1C*SYSTEMAREA.C*AREAFRAC.w1C/VOLUME.sd1C</f>
        <v>2.8742284357661786E-9</v>
      </c>
      <c r="C507" s="317" t="s">
        <v>642</v>
      </c>
    </row>
    <row r="508" spans="1:3" ht="15" x14ac:dyDescent="0.3">
      <c r="A508" s="317" t="s">
        <v>4576</v>
      </c>
      <c r="B508" s="318" t="e">
        <f>(RESUSPflow.sd1C.w1C+DESORBflow.sd1C.w1C)/VOLUME.sd1C</f>
        <v>#NAME?</v>
      </c>
      <c r="C508" s="317" t="s">
        <v>642</v>
      </c>
    </row>
    <row r="509" spans="1:3" ht="15" x14ac:dyDescent="0.3">
      <c r="A509" s="317" t="s">
        <v>4577</v>
      </c>
      <c r="B509" s="318">
        <f>Tempfactor.wsdsR*kdeg.sed+NETsedrate.w1R*(SYSTEMAREA.R*AREAFRAC.w1R/VOLUME.sd1R)</f>
        <v>2.8953682969968596E-9</v>
      </c>
      <c r="C509" s="317" t="s">
        <v>642</v>
      </c>
    </row>
    <row r="510" spans="1:3" ht="15" x14ac:dyDescent="0.3">
      <c r="A510" s="317" t="s">
        <v>4578</v>
      </c>
      <c r="B510" s="318">
        <f>(RESUSPflow.sd1R.w1R+DESORBflow.sd1R.w1R)/VOLUME.sd1R</f>
        <v>9.8718375760761382E-18</v>
      </c>
      <c r="C510" s="317" t="s">
        <v>642</v>
      </c>
    </row>
    <row r="511" spans="1:3" ht="15" x14ac:dyDescent="0.3">
      <c r="A511" s="317" t="s">
        <v>2220</v>
      </c>
      <c r="B511" s="318">
        <f>Tempfactor.wsdsC*kdeg.sed+NETsedrate.w2C*SYSTEMAREA.C*AREAFRAC.w2C/VOLUME.sd2C</f>
        <v>9.1333337394595335E-10</v>
      </c>
      <c r="C511" s="317" t="s">
        <v>642</v>
      </c>
    </row>
    <row r="512" spans="1:3" ht="15" x14ac:dyDescent="0.3">
      <c r="A512" s="317" t="s">
        <v>4579</v>
      </c>
      <c r="B512" s="318" t="e">
        <f>(RESUSPflow.sd2C.w2C+DESORBflow.sd2C.w2C)/VOLUME.sd2C</f>
        <v>#NAME?</v>
      </c>
      <c r="C512" s="317" t="s">
        <v>642</v>
      </c>
    </row>
    <row r="513" spans="1:3" ht="15" x14ac:dyDescent="0.3">
      <c r="A513" s="317" t="s">
        <v>4580</v>
      </c>
      <c r="B513" s="318">
        <f>Tempfactor.wsdsR*kdeg.sed+NETsedrate.w2R*(SYSTEMAREA.R*AREAFRAC.w2R/VOLUME.sd2R)</f>
        <v>9.1429328219912334E-10</v>
      </c>
      <c r="C513" s="317" t="s">
        <v>642</v>
      </c>
    </row>
    <row r="514" spans="1:3" ht="15" x14ac:dyDescent="0.3">
      <c r="A514" s="317" t="s">
        <v>4581</v>
      </c>
      <c r="B514" s="318">
        <f>(RESUSPflow.sd2R.w2R+DESORBflow.sd2R.w2R)/VOLUME.sd2R</f>
        <v>4.4425291563015637E-17</v>
      </c>
      <c r="C514" s="317" t="s">
        <v>642</v>
      </c>
    </row>
    <row r="515" spans="1:3" ht="15" x14ac:dyDescent="0.3">
      <c r="A515" s="317" t="s">
        <v>4582</v>
      </c>
      <c r="B515" s="318">
        <f>Tempfactor.wsdsA*kdeg.sed+NETsedrate.wA*SYSTEMAREA.A*AREAFRAC.wA/VOLUME.sdA</f>
        <v>2.1139949710857147E-12</v>
      </c>
      <c r="C515" s="317" t="s">
        <v>642</v>
      </c>
    </row>
    <row r="516" spans="1:3" ht="15" x14ac:dyDescent="0.3">
      <c r="A516" s="317" t="s">
        <v>4583</v>
      </c>
      <c r="B516" s="318" t="e">
        <f>(RESUSPflow.sdA.w3A+DESORBflow.sdA.w3A)/VOLUME.sdA</f>
        <v>#NAME?</v>
      </c>
      <c r="C516" s="317" t="s">
        <v>642</v>
      </c>
    </row>
    <row r="517" spans="1:3" ht="15" x14ac:dyDescent="0.3">
      <c r="A517" s="317" t="s">
        <v>4584</v>
      </c>
      <c r="B517" s="318">
        <f>Tempfactor.wsdsM*kdeg.sed+NETsedrate.wM*SYSTEMAREA.M*AREAFRAC.wM/VOLUME.sdM</f>
        <v>2.9839749272759756E-12</v>
      </c>
      <c r="C517" s="317" t="s">
        <v>642</v>
      </c>
    </row>
    <row r="518" spans="1:3" ht="15" x14ac:dyDescent="0.3">
      <c r="A518" s="317" t="s">
        <v>4585</v>
      </c>
      <c r="B518" s="318">
        <f>(RESUSPflow.sdM.w3M+DESORBflow.sdM.w3M)/VOLUME.sdM</f>
        <v>1.1689032156088774E-21</v>
      </c>
      <c r="C518" s="317" t="s">
        <v>642</v>
      </c>
    </row>
    <row r="519" spans="1:3" ht="15" x14ac:dyDescent="0.3">
      <c r="A519" s="317" t="s">
        <v>4586</v>
      </c>
      <c r="B519" s="318">
        <f>Tempfactor.wsdsT*kdeg.sed+NETsedrate.wT*SYSTEMAREA.T*AREAFRAC.wT/VOLUME.sdT</f>
        <v>2.114086132250983E-12</v>
      </c>
      <c r="C519" s="317" t="s">
        <v>642</v>
      </c>
    </row>
    <row r="520" spans="1:3" ht="15" x14ac:dyDescent="0.3">
      <c r="A520" s="317" t="s">
        <v>4587</v>
      </c>
      <c r="B520" s="318" t="e">
        <f>(RESUSPflow.sdT.w3T+DESORBflow.sdT.w3T)/VOLUME.sdT</f>
        <v>#NAME?</v>
      </c>
      <c r="C520" s="317" t="s">
        <v>642</v>
      </c>
    </row>
    <row r="521" spans="1:3" ht="15" x14ac:dyDescent="0.3">
      <c r="A521" s="317" t="s">
        <v>4588</v>
      </c>
      <c r="B521" s="318">
        <f>Tempfactor.wsdsM*kdeg.soil+FRACinf.sM*RAINrate.M/Kslw.M*CORRleach.sM*SYSTEMAREA.M*AREAFRAC.sM/VOLUME.sM</f>
        <v>3.1466381043321187E-11</v>
      </c>
      <c r="C521" s="317" t="s">
        <v>642</v>
      </c>
    </row>
    <row r="522" spans="1:3" ht="15" x14ac:dyDescent="0.3">
      <c r="A522" s="317" t="s">
        <v>4589</v>
      </c>
      <c r="B522" s="318" t="e">
        <f>VOLATflow.sM.aM/VOLUME.sM</f>
        <v>#NAME?</v>
      </c>
      <c r="C522" s="317" t="s">
        <v>642</v>
      </c>
    </row>
    <row r="523" spans="1:3" ht="15" x14ac:dyDescent="0.3">
      <c r="A523" s="317" t="s">
        <v>4590</v>
      </c>
      <c r="B523" s="318">
        <f>(RAINrate.M*FRACrun.sM/Kslw.M+EROSION.sM)*CORRrunoff.sM * (SYSTEMAREA.M*AREAFRAC.sM/VOLUME.sM)</f>
        <v>4.6941418162982244E-9</v>
      </c>
      <c r="C523" s="317" t="s">
        <v>642</v>
      </c>
    </row>
    <row r="524" spans="1:3" ht="15" x14ac:dyDescent="0.3">
      <c r="A524" s="317" t="s">
        <v>4591</v>
      </c>
      <c r="B524" s="318">
        <f>Tempfactor.wsdsT*kdeg.soil+FRACinf.sT*RAINrate.T/Kslw.T*CORRleach.sT*SYSTEMAREA.T*AREAFRAC.sT/VOLUME.sT</f>
        <v>5.8437810560371292E-11</v>
      </c>
      <c r="C524" s="317" t="s">
        <v>642</v>
      </c>
    </row>
    <row r="525" spans="1:3" ht="15" x14ac:dyDescent="0.3">
      <c r="A525" s="317" t="s">
        <v>4592</v>
      </c>
      <c r="B525" s="318" t="e">
        <f>VOLATflow.sT.aT/VOLUME.sT</f>
        <v>#NAME?</v>
      </c>
      <c r="C525" s="317" t="s">
        <v>642</v>
      </c>
    </row>
    <row r="526" spans="1:3" ht="15" x14ac:dyDescent="0.3">
      <c r="A526" s="317" t="s">
        <v>4593</v>
      </c>
      <c r="B526" s="318">
        <f>(RAINrate.T*FRACrun.sT/Kslw.T+EROSION.sT)*CORRrunoff.sT * (SYSTEMAREA.T*AREAFRAC.sT/VOLUME.sT)</f>
        <v>8.6969687377490755E-9</v>
      </c>
      <c r="C526" s="317" t="s">
        <v>642</v>
      </c>
    </row>
    <row r="527" spans="1:3" ht="15" x14ac:dyDescent="0.3">
      <c r="A527" s="317" t="s">
        <v>2215</v>
      </c>
      <c r="B527" s="318">
        <f>kdeg.water*Tempfactor.wsdsC*(BACT.w0C/BACT.test)*FRw.w0C</f>
        <v>4.0601657370321781E-14</v>
      </c>
      <c r="C527" s="317" t="s">
        <v>642</v>
      </c>
    </row>
    <row r="528" spans="1:3" ht="15" x14ac:dyDescent="0.3">
      <c r="A528" s="317" t="s">
        <v>4594</v>
      </c>
      <c r="B528" s="318" t="e">
        <f>VOLATflow.w0C.aC/VOLUME.w0C</f>
        <v>#NAME?</v>
      </c>
      <c r="C528" s="317" t="s">
        <v>642</v>
      </c>
    </row>
    <row r="529" spans="1:3" ht="15" x14ac:dyDescent="0.3">
      <c r="A529" s="317" t="s">
        <v>2026</v>
      </c>
      <c r="B529" s="318">
        <f>WATERflow.w0C.w1C/VOLUME.w0C</f>
        <v>2.3972602739726029E-9</v>
      </c>
      <c r="C529" s="317" t="s">
        <v>642</v>
      </c>
    </row>
    <row r="530" spans="1:3" ht="15" x14ac:dyDescent="0.3">
      <c r="A530" s="317" t="s">
        <v>2028</v>
      </c>
      <c r="B530" s="318">
        <f>WATERflow.w0C.w2C/VOLUME.w0C</f>
        <v>0</v>
      </c>
      <c r="C530" s="317" t="s">
        <v>642</v>
      </c>
    </row>
    <row r="531" spans="1:3" ht="15" x14ac:dyDescent="0.3">
      <c r="A531" s="317" t="s">
        <v>4595</v>
      </c>
      <c r="B531" s="318" t="e">
        <f>kdeg.water*Tempfactor.wsdsR*(BACT.w0R/BACT.test)*FRw.w0R</f>
        <v>#NAME?</v>
      </c>
      <c r="C531" s="317" t="s">
        <v>642</v>
      </c>
    </row>
    <row r="532" spans="1:3" ht="15" x14ac:dyDescent="0.3">
      <c r="A532" s="317" t="s">
        <v>4596</v>
      </c>
      <c r="B532" s="318" t="e">
        <f>VOLATflow.w0R.aR/VOLUME.w0R</f>
        <v>#NAME?</v>
      </c>
      <c r="C532" s="317" t="s">
        <v>642</v>
      </c>
    </row>
    <row r="533" spans="1:3" ht="15" x14ac:dyDescent="0.3">
      <c r="A533" s="317" t="s">
        <v>1078</v>
      </c>
      <c r="B533" s="318">
        <f>WATERflow.w0R.w1R/VOLUME.w0R</f>
        <v>2.3972602739726025E-9</v>
      </c>
      <c r="C533" s="317" t="s">
        <v>642</v>
      </c>
    </row>
    <row r="534" spans="1:3" ht="15" x14ac:dyDescent="0.3">
      <c r="A534" s="317" t="s">
        <v>1080</v>
      </c>
      <c r="B534" s="318">
        <f>WATERflow.w0R.w2R/VOLUME.w0R</f>
        <v>0</v>
      </c>
      <c r="C534" s="317" t="s">
        <v>642</v>
      </c>
    </row>
    <row r="535" spans="1:3" ht="15" x14ac:dyDescent="0.3">
      <c r="A535" s="317" t="s">
        <v>2216</v>
      </c>
      <c r="B535" s="318">
        <f>kdeg.water*Tempfactor.wsdsC*(BACT.w1C/BACT.test)*FRw.w1C</f>
        <v>4.0542886053799236E-14</v>
      </c>
      <c r="C535" s="317" t="s">
        <v>642</v>
      </c>
    </row>
    <row r="536" spans="1:3" ht="15" x14ac:dyDescent="0.3">
      <c r="A536" s="317" t="s">
        <v>4597</v>
      </c>
      <c r="B536" s="318" t="e">
        <f>VOLATflow.w1C.aC/VOLUME.w1C</f>
        <v>#NAME?</v>
      </c>
      <c r="C536" s="317" t="s">
        <v>642</v>
      </c>
    </row>
    <row r="537" spans="1:3" ht="15" x14ac:dyDescent="0.3">
      <c r="A537" s="317" t="s">
        <v>4598</v>
      </c>
      <c r="B537" s="318" t="e">
        <f>(SEDflow.w1C.sd1C+ADSORBflow.w1C.sd1C)/VOLUME.w1C</f>
        <v>#NAME?</v>
      </c>
      <c r="C537" s="317" t="s">
        <v>642</v>
      </c>
    </row>
    <row r="538" spans="1:3" ht="15" x14ac:dyDescent="0.3">
      <c r="A538" s="317" t="s">
        <v>2030</v>
      </c>
      <c r="B538" s="318">
        <f>WATERflow.w1C.w0C/VOLUME.w1C</f>
        <v>0</v>
      </c>
      <c r="C538" s="317" t="s">
        <v>642</v>
      </c>
    </row>
    <row r="539" spans="1:3" ht="15" x14ac:dyDescent="0.3">
      <c r="A539" s="317" t="s">
        <v>2032</v>
      </c>
      <c r="B539" s="318">
        <v>0</v>
      </c>
      <c r="C539" s="317" t="s">
        <v>642</v>
      </c>
    </row>
    <row r="540" spans="1:3" ht="15" x14ac:dyDescent="0.3">
      <c r="A540" s="317" t="s">
        <v>2034</v>
      </c>
      <c r="B540" s="318">
        <f>WATERflow.w1C.w2C*(1-FRAC.w1C.w1R)/VOLUME.w1C</f>
        <v>7.2644250726442513E-8</v>
      </c>
      <c r="C540" s="317" t="s">
        <v>642</v>
      </c>
    </row>
    <row r="541" spans="1:3" ht="15" x14ac:dyDescent="0.3">
      <c r="A541" s="317" t="s">
        <v>4599</v>
      </c>
      <c r="B541" s="318" t="e">
        <f>kdeg.water*Tempfactor.wsdsR*(BACT.w1R/BACT.test)*FRw.w1R</f>
        <v>#NAME?</v>
      </c>
      <c r="C541" s="317" t="s">
        <v>642</v>
      </c>
    </row>
    <row r="542" spans="1:3" ht="15" x14ac:dyDescent="0.3">
      <c r="A542" s="317" t="s">
        <v>4600</v>
      </c>
      <c r="B542" s="318" t="e">
        <f>VOLATflow.w1R.aR/VOLUME.w1R</f>
        <v>#NAME?</v>
      </c>
      <c r="C542" s="317" t="s">
        <v>642</v>
      </c>
    </row>
    <row r="543" spans="1:3" ht="15" x14ac:dyDescent="0.3">
      <c r="A543" s="317" t="s">
        <v>4601</v>
      </c>
      <c r="B543" s="318">
        <f>(SEDflow.w1R.sd1R+ADSORBflow.w1R.sd1R)/VOLUME.w1R</f>
        <v>4.1340978113776672E-18</v>
      </c>
      <c r="C543" s="317" t="s">
        <v>642</v>
      </c>
    </row>
    <row r="544" spans="1:3" ht="15" x14ac:dyDescent="0.3">
      <c r="A544" s="317" t="s">
        <v>1082</v>
      </c>
      <c r="B544" s="318">
        <f>WATERflow.w1R.w0R/VOLUME.w1R</f>
        <v>0</v>
      </c>
      <c r="C544" s="317" t="s">
        <v>642</v>
      </c>
    </row>
    <row r="545" spans="1:3" ht="15" x14ac:dyDescent="0.3">
      <c r="A545" s="317" t="s">
        <v>1084</v>
      </c>
      <c r="B545" s="318">
        <f>WATERflow.w1R.w2R/VOLUME.w1R</f>
        <v>7.26442507264425E-8</v>
      </c>
      <c r="C545" s="317" t="s">
        <v>642</v>
      </c>
    </row>
    <row r="546" spans="1:3" ht="15" x14ac:dyDescent="0.3">
      <c r="A546" s="317" t="s">
        <v>4602</v>
      </c>
      <c r="B546" s="318">
        <f>kdeg.water*Tempfactor.wsdsA*(BACT.w2A/BACT.test)*FRw.w2A</f>
        <v>8.8324753825564043E-15</v>
      </c>
      <c r="C546" s="317" t="s">
        <v>642</v>
      </c>
    </row>
    <row r="547" spans="1:3" ht="15" x14ac:dyDescent="0.3">
      <c r="A547" s="317" t="s">
        <v>4603</v>
      </c>
      <c r="B547" s="318" t="e">
        <f>VOLATflow.w2A.aA/VOLUME.w2A</f>
        <v>#NAME?</v>
      </c>
      <c r="C547" s="317" t="s">
        <v>642</v>
      </c>
    </row>
    <row r="548" spans="1:3" ht="15" x14ac:dyDescent="0.3">
      <c r="A548" s="317" t="s">
        <v>3041</v>
      </c>
      <c r="B548" s="318">
        <f>WATERflow.w2A.w2M/VOLUME.w2A</f>
        <v>0</v>
      </c>
      <c r="C548" s="317" t="s">
        <v>642</v>
      </c>
    </row>
    <row r="549" spans="1:3" ht="15" x14ac:dyDescent="0.3">
      <c r="A549" s="317" t="s">
        <v>3047</v>
      </c>
      <c r="B549" s="318">
        <f>(OceanCurrent+OceanMixing.A)/VOLUME.w2A</f>
        <v>2.6926123984947511E-7</v>
      </c>
      <c r="C549" s="317" t="s">
        <v>642</v>
      </c>
    </row>
    <row r="550" spans="1:3" ht="15" x14ac:dyDescent="0.3">
      <c r="A550" s="317" t="s">
        <v>2217</v>
      </c>
      <c r="B550" s="318">
        <f>kdeg.water*Tempfactor.wsdsC*(BACT.w2C/BACT.test)*FRw.w2C</f>
        <v>4.0583399769977389E-14</v>
      </c>
      <c r="C550" s="317" t="s">
        <v>642</v>
      </c>
    </row>
    <row r="551" spans="1:3" ht="15" x14ac:dyDescent="0.3">
      <c r="A551" s="317" t="s">
        <v>4604</v>
      </c>
      <c r="B551" s="318" t="e">
        <f>VOLATflow.w2C.aC/VOLUME.w2C</f>
        <v>#NAME?</v>
      </c>
      <c r="C551" s="317" t="s">
        <v>642</v>
      </c>
    </row>
    <row r="552" spans="1:3" ht="15" x14ac:dyDescent="0.3">
      <c r="A552" s="317" t="s">
        <v>4605</v>
      </c>
      <c r="B552" s="318" t="e">
        <f>(SEDflow.w2C.sd2C+ADSORBflow.w2C.sd2C)/VOLUME.w2C</f>
        <v>#NAME?</v>
      </c>
      <c r="C552" s="317" t="s">
        <v>642</v>
      </c>
    </row>
    <row r="553" spans="1:3" ht="15" x14ac:dyDescent="0.3">
      <c r="A553" s="317" t="s">
        <v>2048</v>
      </c>
      <c r="B553" s="318">
        <f>WATERflow.w2C.w2M/VOLUME.w2C</f>
        <v>3.1691347286679496E-8</v>
      </c>
      <c r="C553" s="317" t="s">
        <v>642</v>
      </c>
    </row>
    <row r="554" spans="1:3" ht="15" x14ac:dyDescent="0.3">
      <c r="A554" s="317" t="s">
        <v>2046</v>
      </c>
      <c r="B554" s="318">
        <f>WATERflow.w2C.w2R/VOLUME.w2C</f>
        <v>1.660022737657995E-11</v>
      </c>
      <c r="C554" s="317" t="s">
        <v>642</v>
      </c>
    </row>
    <row r="555" spans="1:3" ht="15" x14ac:dyDescent="0.3">
      <c r="A555" s="317" t="s">
        <v>4606</v>
      </c>
      <c r="B555" s="318">
        <f>kdeg.water*Tempfactor.wsdsM*(BACT.w2M/BACT.test)*FRw.w2M</f>
        <v>4.0583399769977389E-14</v>
      </c>
      <c r="C555" s="317" t="s">
        <v>642</v>
      </c>
    </row>
    <row r="556" spans="1:3" ht="15" x14ac:dyDescent="0.3">
      <c r="A556" s="317" t="s">
        <v>4607</v>
      </c>
      <c r="B556" s="318" t="e">
        <f>VOLATflow.w2M.aM/VOLUME.w2M</f>
        <v>#NAME?</v>
      </c>
      <c r="C556" s="317" t="s">
        <v>642</v>
      </c>
    </row>
    <row r="557" spans="1:3" ht="15" x14ac:dyDescent="0.3">
      <c r="A557" s="317" t="s">
        <v>2624</v>
      </c>
      <c r="B557" s="318">
        <f>WATERflow.w2M.w2A/VOLUME.w2M</f>
        <v>3.8674157077409421E-8</v>
      </c>
      <c r="C557" s="317" t="s">
        <v>642</v>
      </c>
    </row>
    <row r="558" spans="1:3" ht="15" x14ac:dyDescent="0.3">
      <c r="A558" s="317" t="s">
        <v>2622</v>
      </c>
      <c r="B558" s="318">
        <f>WATERflow.w2M.w2C/VOLUME.w2M</f>
        <v>6.0683860128376809E-9</v>
      </c>
      <c r="C558" s="317" t="s">
        <v>642</v>
      </c>
    </row>
    <row r="559" spans="1:3" ht="15" x14ac:dyDescent="0.3">
      <c r="A559" s="317" t="s">
        <v>2626</v>
      </c>
      <c r="B559" s="318">
        <f>WATERflow.w2M.w2T/VOLUME.w2M</f>
        <v>0</v>
      </c>
      <c r="C559" s="317" t="s">
        <v>642</v>
      </c>
    </row>
    <row r="560" spans="1:3" ht="15" x14ac:dyDescent="0.3">
      <c r="A560" s="317" t="s">
        <v>2640</v>
      </c>
      <c r="B560" s="318">
        <f>(OceanCurrent+OceanMixing.M)/VOLUME.w2M</f>
        <v>2.4911186751511984E-7</v>
      </c>
      <c r="C560" s="317" t="s">
        <v>642</v>
      </c>
    </row>
    <row r="561" spans="1:3" ht="15" x14ac:dyDescent="0.3">
      <c r="A561" s="317" t="s">
        <v>4608</v>
      </c>
      <c r="B561" s="318" t="e">
        <f>kdeg.water*Tempfactor.wsdsR*(BACT.w2R/BACT.test)*FRw.w2R</f>
        <v>#NAME?</v>
      </c>
      <c r="C561" s="317" t="s">
        <v>642</v>
      </c>
    </row>
    <row r="562" spans="1:3" ht="15" x14ac:dyDescent="0.3">
      <c r="A562" s="317" t="s">
        <v>4609</v>
      </c>
      <c r="B562" s="318" t="e">
        <f>VOLATflow.w2R.aR/VOLUME.w2R</f>
        <v>#NAME?</v>
      </c>
      <c r="C562" s="317" t="s">
        <v>642</v>
      </c>
    </row>
    <row r="563" spans="1:3" ht="15" x14ac:dyDescent="0.3">
      <c r="A563" s="317" t="s">
        <v>4610</v>
      </c>
      <c r="B563" s="318">
        <f>(SEDflow.w2R.sd2R+ADSORBflow.w2R.sd2R)/VOLUME.w2R</f>
        <v>4.8645427583599312E-18</v>
      </c>
      <c r="C563" s="317" t="s">
        <v>642</v>
      </c>
    </row>
    <row r="564" spans="1:3" ht="15" x14ac:dyDescent="0.3">
      <c r="A564" s="317" t="s">
        <v>1086</v>
      </c>
      <c r="B564" s="325">
        <f>(RAINrate.R*SYSTEMAREA.R*AREAFRAC.w2R+WATERflow.w1R.w2R+WATERflow.w2C.w2R)/VOLUME.w2R</f>
        <v>1.3720741374936564E-6</v>
      </c>
      <c r="C564" s="317" t="s">
        <v>642</v>
      </c>
    </row>
    <row r="565" spans="1:3" ht="15" x14ac:dyDescent="0.3">
      <c r="A565" s="317" t="s">
        <v>4611</v>
      </c>
      <c r="B565" s="318">
        <f>kdeg.water*Tempfactor.wsdsT*(BACT.w2T/BACT.test)*FRw.w2T</f>
        <v>9.9928051802702045E-14</v>
      </c>
      <c r="C565" s="317" t="s">
        <v>642</v>
      </c>
    </row>
    <row r="566" spans="1:3" ht="15" x14ac:dyDescent="0.3">
      <c r="A566" s="317" t="s">
        <v>4612</v>
      </c>
      <c r="B566" s="318" t="e">
        <f>VOLATflow.w2T.aT/VOLUME.w2T</f>
        <v>#NAME?</v>
      </c>
      <c r="C566" s="317" t="s">
        <v>642</v>
      </c>
    </row>
    <row r="567" spans="1:3" ht="15" x14ac:dyDescent="0.3">
      <c r="A567" s="317" t="s">
        <v>3358</v>
      </c>
      <c r="B567" s="318">
        <f>WATERflow.w2T.w2M/VOLUME.w2T</f>
        <v>1.6806722689075633E-8</v>
      </c>
      <c r="C567" s="317" t="s">
        <v>642</v>
      </c>
    </row>
    <row r="568" spans="1:3" ht="15" x14ac:dyDescent="0.3">
      <c r="A568" s="317" t="s">
        <v>3363</v>
      </c>
      <c r="B568" s="318">
        <f>(OceanCurrent+OceanMixing.T)/VOLUME.w2T</f>
        <v>2.2724443312678606E-7</v>
      </c>
      <c r="C568" s="317" t="s">
        <v>642</v>
      </c>
    </row>
    <row r="569" spans="1:3" ht="15" x14ac:dyDescent="0.3">
      <c r="A569" s="317" t="s">
        <v>4613</v>
      </c>
      <c r="B569" s="318">
        <f>kdeg.water*Tempfactor.wsdsA*(BACT.w3A/BACT.test)*FRw.w3A</f>
        <v>8.8324753825564043E-15</v>
      </c>
      <c r="C569" s="317" t="s">
        <v>642</v>
      </c>
    </row>
    <row r="570" spans="1:3" ht="15" x14ac:dyDescent="0.3">
      <c r="A570" s="317" t="s">
        <v>4614</v>
      </c>
      <c r="B570" s="318" t="e">
        <f>(SEDflow.w3A.sdA+ADSORBflow.w3A.sdA)/VOLUME.w3A</f>
        <v>#NAME?</v>
      </c>
      <c r="C570" s="317" t="s">
        <v>642</v>
      </c>
    </row>
    <row r="571" spans="1:3" ht="15" x14ac:dyDescent="0.3">
      <c r="A571" s="317" t="s">
        <v>3049</v>
      </c>
      <c r="B571" s="318">
        <f>(OceanCurrent+OceanMixing.A)/VOLUME.w3A</f>
        <v>8.9753746616491718E-9</v>
      </c>
      <c r="C571" s="317" t="s">
        <v>642</v>
      </c>
    </row>
    <row r="572" spans="1:3" ht="15" x14ac:dyDescent="0.3">
      <c r="A572" s="317" t="s">
        <v>3043</v>
      </c>
      <c r="B572" s="318">
        <f>OceanCurrent/VOLUME.w3A</f>
        <v>1.9607843137254903E-9</v>
      </c>
      <c r="C572" s="317" t="s">
        <v>642</v>
      </c>
    </row>
    <row r="573" spans="1:3" ht="15" x14ac:dyDescent="0.3">
      <c r="A573" s="317" t="s">
        <v>4615</v>
      </c>
      <c r="B573" s="318">
        <f>kdeg.water*Tempfactor.wsdsM*(BACT.w3M/BACT.test)*FRw.w3M</f>
        <v>4.0583399769977389E-14</v>
      </c>
      <c r="C573" s="317" t="s">
        <v>642</v>
      </c>
    </row>
    <row r="574" spans="1:3" ht="15" x14ac:dyDescent="0.3">
      <c r="A574" s="317" t="s">
        <v>4616</v>
      </c>
      <c r="B574" s="318">
        <f>(SEDflow.w3M.sdM+ADSORBflow.w3M.sdM)/VOLUME.w3M</f>
        <v>4.1807131277019266E-25</v>
      </c>
      <c r="C574" s="317" t="s">
        <v>642</v>
      </c>
    </row>
    <row r="575" spans="1:3" ht="15" x14ac:dyDescent="0.3">
      <c r="A575" s="317" t="s">
        <v>2642</v>
      </c>
      <c r="B575" s="318">
        <f>(OceanCurrent+OceanMixing.M)/VOLUME.w3M</f>
        <v>8.3037289171706622E-9</v>
      </c>
      <c r="C575" s="317" t="s">
        <v>642</v>
      </c>
    </row>
    <row r="576" spans="1:3" ht="15" x14ac:dyDescent="0.3">
      <c r="A576" s="317" t="s">
        <v>2628</v>
      </c>
      <c r="B576" s="318">
        <v>0</v>
      </c>
      <c r="C576" s="317" t="s">
        <v>642</v>
      </c>
    </row>
    <row r="577" spans="1:3" ht="15" x14ac:dyDescent="0.3">
      <c r="A577" s="317" t="s">
        <v>2630</v>
      </c>
      <c r="B577" s="318">
        <f>OceanCurrent/VOLUME.w3M</f>
        <v>1.2891385692469807E-9</v>
      </c>
      <c r="C577" s="317" t="s">
        <v>642</v>
      </c>
    </row>
    <row r="578" spans="1:3" ht="15" x14ac:dyDescent="0.3">
      <c r="A578" s="317" t="s">
        <v>4617</v>
      </c>
      <c r="B578" s="318">
        <f>kdeg.water*Tempfactor.wsdsT*(BACT.w3T/BACT.test)*FRw.w3T</f>
        <v>9.9928051802702045E-14</v>
      </c>
      <c r="C578" s="317" t="s">
        <v>642</v>
      </c>
    </row>
    <row r="579" spans="1:3" ht="15" x14ac:dyDescent="0.3">
      <c r="A579" s="317" t="s">
        <v>4618</v>
      </c>
      <c r="B579" s="318" t="e">
        <f>(SEDflow.w3T.sdT+ADSORBflow.w3T.sdT)/VOLUME.w3T</f>
        <v>#NAME?</v>
      </c>
      <c r="C579" s="317" t="s">
        <v>642</v>
      </c>
    </row>
    <row r="580" spans="1:3" ht="15" x14ac:dyDescent="0.3">
      <c r="A580" s="317" t="s">
        <v>3364</v>
      </c>
      <c r="B580" s="318">
        <f>(OceanCurrent+OceanMixing.T)/VOLUME.w3T</f>
        <v>7.5748144375595357E-9</v>
      </c>
      <c r="C580" s="317" t="s">
        <v>642</v>
      </c>
    </row>
    <row r="581" spans="1:3" ht="15" x14ac:dyDescent="0.3">
      <c r="A581" s="317" t="s">
        <v>3360</v>
      </c>
      <c r="B581" s="318">
        <v>0</v>
      </c>
      <c r="C581" s="317" t="s">
        <v>642</v>
      </c>
    </row>
    <row r="582" spans="1:3" ht="1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5" x14ac:dyDescent="0.3">
      <c r="A604" s="317" t="s">
        <v>3133</v>
      </c>
      <c r="B604" s="318">
        <f>FRgas.aA*kdegG.air*(C.OHrad.aA/C.OHrad)*Tempfactor.aA</f>
        <v>1.6554438992186728E-37</v>
      </c>
      <c r="C604" s="317" t="s">
        <v>642</v>
      </c>
    </row>
    <row r="605" spans="1:3" ht="15" x14ac:dyDescent="0.3">
      <c r="A605" s="317" t="s">
        <v>2225</v>
      </c>
      <c r="B605" s="318">
        <f>FRgas.aC*kdegG.air*(C.OHrad.aC/C.OHrad)*Tempfactor.aC</f>
        <v>3.8083662994282794E-33</v>
      </c>
      <c r="C605" s="317" t="s">
        <v>642</v>
      </c>
    </row>
    <row r="606" spans="1:3" ht="15" x14ac:dyDescent="0.3">
      <c r="A606" s="319" t="s">
        <v>4280</v>
      </c>
      <c r="B606" s="321">
        <f>C.OHrad*k0.OHrad*EXP(-Ea.OHrad/(8.314*298))</f>
        <v>3.5063474584268925E-6</v>
      </c>
      <c r="C606" s="317" t="s">
        <v>642</v>
      </c>
    </row>
    <row r="607" spans="1:3" ht="15" x14ac:dyDescent="0.3">
      <c r="A607" s="317" t="s">
        <v>2775</v>
      </c>
      <c r="B607" s="318">
        <f>FRgas.aM*kdegG.air*(C.OHrad.aM/C.OHrad)*Tempfactor.aM</f>
        <v>3.8083662994282794E-33</v>
      </c>
      <c r="C607" s="317" t="s">
        <v>642</v>
      </c>
    </row>
    <row r="608" spans="1:3" ht="15" x14ac:dyDescent="0.3">
      <c r="A608" s="317" t="s">
        <v>1375</v>
      </c>
      <c r="B608" s="318">
        <f>FRgas.aR*kdegG.air*(C.OHrad.aR/C.OHrad)*Tempfactor.aR</f>
        <v>3.8083662994282794E-33</v>
      </c>
      <c r="C608" s="317" t="s">
        <v>642</v>
      </c>
    </row>
    <row r="609" spans="1:3" ht="15" x14ac:dyDescent="0.3">
      <c r="A609" s="317" t="s">
        <v>3443</v>
      </c>
      <c r="B609" s="318">
        <f>FRgas.aT*kdegG.air*(C.OHrad.aT/C.OHrad)*Tempfactor.aT</f>
        <v>1.6778800571159991E-32</v>
      </c>
      <c r="C609" s="317" t="s">
        <v>642</v>
      </c>
    </row>
    <row r="610" spans="1:3" ht="15" x14ac:dyDescent="0.3">
      <c r="A610" s="317" t="s">
        <v>2241</v>
      </c>
      <c r="B610" s="323">
        <f>Tempfactor.wsdsC*kdeg.soil</f>
        <v>4.0612619817811775E-16</v>
      </c>
      <c r="C610" s="317" t="s">
        <v>642</v>
      </c>
    </row>
    <row r="611" spans="1:3" ht="15" x14ac:dyDescent="0.3">
      <c r="A611" s="317" t="s">
        <v>1404</v>
      </c>
      <c r="B611" s="318">
        <f>Tempfactor.wsdsR*kdeg.soil</f>
        <v>4.0612619817811775E-16</v>
      </c>
      <c r="C611" s="317" t="s">
        <v>642</v>
      </c>
    </row>
    <row r="612" spans="1:3" ht="15" x14ac:dyDescent="0.3">
      <c r="A612" s="317" t="s">
        <v>2242</v>
      </c>
      <c r="B612" s="323">
        <f>Tempfactor.wsdsC*kdeg.soil</f>
        <v>4.0612619817811775E-16</v>
      </c>
      <c r="C612" s="317" t="s">
        <v>642</v>
      </c>
    </row>
    <row r="613" spans="1:3" ht="15" x14ac:dyDescent="0.3">
      <c r="A613" s="317" t="s">
        <v>1406</v>
      </c>
      <c r="B613" s="318">
        <f>Tempfactor.wsdsR*kdeg.soil</f>
        <v>4.0612619817811775E-16</v>
      </c>
      <c r="C613" s="317" t="s">
        <v>642</v>
      </c>
    </row>
    <row r="614" spans="1:3" ht="15" x14ac:dyDescent="0.3">
      <c r="A614" s="317" t="s">
        <v>2243</v>
      </c>
      <c r="B614" s="323">
        <f>Tempfactor.wsdsC*kdeg.soil</f>
        <v>4.0612619817811775E-16</v>
      </c>
      <c r="C614" s="317" t="s">
        <v>642</v>
      </c>
    </row>
    <row r="615" spans="1:3" ht="15" x14ac:dyDescent="0.3">
      <c r="A615" s="317" t="s">
        <v>1408</v>
      </c>
      <c r="B615" s="318">
        <f>Tempfactor.wsdsR*kdeg.soil</f>
        <v>4.0612619817811775E-16</v>
      </c>
      <c r="C615" s="317" t="s">
        <v>642</v>
      </c>
    </row>
    <row r="616" spans="1:3" ht="15" x14ac:dyDescent="0.3">
      <c r="A616" s="317" t="s">
        <v>3144</v>
      </c>
      <c r="B616" s="323">
        <f>Tempfactor.wsdsA*kdeg.soil</f>
        <v>8.8388347648318454E-17</v>
      </c>
      <c r="C616" s="317" t="s">
        <v>642</v>
      </c>
    </row>
    <row r="617" spans="1:3" ht="15" x14ac:dyDescent="0.3">
      <c r="A617" s="317" t="s">
        <v>2239</v>
      </c>
      <c r="B617" s="323">
        <f>Tempfactor.wsdsC*kdeg.sed</f>
        <v>4.0612619817811771E-17</v>
      </c>
      <c r="C617" s="317" t="s">
        <v>642</v>
      </c>
    </row>
    <row r="618" spans="1:3" ht="15" x14ac:dyDescent="0.3">
      <c r="A618" s="317" t="s">
        <v>1400</v>
      </c>
      <c r="B618" s="318">
        <f>Tempfactor.wsdsR*kdeg.sed</f>
        <v>4.0612619817811771E-17</v>
      </c>
      <c r="C618" s="317" t="s">
        <v>642</v>
      </c>
    </row>
    <row r="619" spans="1:3" ht="15" x14ac:dyDescent="0.3">
      <c r="A619" s="317" t="s">
        <v>2240</v>
      </c>
      <c r="B619" s="323">
        <f>Tempfactor.wsdsC*kdeg.sed</f>
        <v>4.0612619817811771E-17</v>
      </c>
      <c r="C619" s="317" t="s">
        <v>642</v>
      </c>
    </row>
    <row r="620" spans="1:3" ht="15" x14ac:dyDescent="0.3">
      <c r="A620" s="317" t="s">
        <v>1402</v>
      </c>
      <c r="B620" s="318">
        <f>Tempfactor.wsdsR*kdeg.sed</f>
        <v>4.0612619817811771E-17</v>
      </c>
      <c r="C620" s="317" t="s">
        <v>642</v>
      </c>
    </row>
    <row r="621" spans="1:3" ht="15" x14ac:dyDescent="0.3">
      <c r="A621" s="317" t="s">
        <v>3143</v>
      </c>
      <c r="B621" s="323">
        <f>Tempfactor.wsdsA*kdeg.sed</f>
        <v>8.8388347648318445E-18</v>
      </c>
      <c r="C621" s="317" t="s">
        <v>642</v>
      </c>
    </row>
    <row r="622" spans="1:3" ht="15" x14ac:dyDescent="0.3">
      <c r="A622" s="317" t="s">
        <v>2789</v>
      </c>
      <c r="B622" s="318">
        <f>Tempfactor.wsdsM*kdeg.sed</f>
        <v>4.0612619817811771E-17</v>
      </c>
      <c r="C622" s="317" t="s">
        <v>642</v>
      </c>
    </row>
    <row r="623" spans="1:3" ht="15" x14ac:dyDescent="0.3">
      <c r="A623" s="317" t="s">
        <v>3452</v>
      </c>
      <c r="B623" s="318">
        <f>Tempfactor.wsdsT*kdeg.sed</f>
        <v>9.9999999999999998E-17</v>
      </c>
      <c r="C623" s="317" t="s">
        <v>642</v>
      </c>
    </row>
    <row r="624" spans="1:3" ht="96.6" x14ac:dyDescent="0.3">
      <c r="A624" s="319" t="s">
        <v>4626</v>
      </c>
      <c r="B624" s="326" t="s">
        <v>4627</v>
      </c>
      <c r="C624" s="317" t="s">
        <v>642</v>
      </c>
    </row>
    <row r="625" spans="1:3" ht="15" x14ac:dyDescent="0.3">
      <c r="A625" s="317" t="s">
        <v>2791</v>
      </c>
      <c r="B625" s="318">
        <f>Tempfactor.wsdsM*kdeg.soil</f>
        <v>4.0612619817811775E-16</v>
      </c>
      <c r="C625" s="317" t="s">
        <v>642</v>
      </c>
    </row>
    <row r="626" spans="1:3" ht="96.6" x14ac:dyDescent="0.3">
      <c r="A626" s="319" t="s">
        <v>4628</v>
      </c>
      <c r="B626" s="326" t="s">
        <v>4629</v>
      </c>
      <c r="C626" s="317" t="s">
        <v>642</v>
      </c>
    </row>
    <row r="627" spans="1:3" ht="15" x14ac:dyDescent="0.3">
      <c r="A627" s="317" t="s">
        <v>3453</v>
      </c>
      <c r="B627" s="318">
        <f>Tempfactor.wsdsT*kdeg.soil</f>
        <v>1.0000000000000001E-15</v>
      </c>
      <c r="C627" s="317" t="s">
        <v>642</v>
      </c>
    </row>
    <row r="628" spans="1:3" ht="15" x14ac:dyDescent="0.3">
      <c r="A628" s="317" t="s">
        <v>2230</v>
      </c>
      <c r="B628" s="318">
        <f>kdeg.water*Tempfactor.wsdsC*(BACT.w0C/BACT.test)*FRw.w0C</f>
        <v>4.0601657370321781E-14</v>
      </c>
      <c r="C628" s="317" t="s">
        <v>642</v>
      </c>
    </row>
    <row r="629" spans="1:3" ht="15" x14ac:dyDescent="0.3">
      <c r="A629" s="317" t="s">
        <v>1382</v>
      </c>
      <c r="B629" s="318" t="e">
        <f>kdeg.water*Tempfactor.wsdsR*(BACT.w0R/BACT.test)*FRw.w0R</f>
        <v>#NAME?</v>
      </c>
      <c r="C629" s="317" t="s">
        <v>642</v>
      </c>
    </row>
    <row r="630" spans="1:3" ht="15" x14ac:dyDescent="0.3">
      <c r="A630" s="317" t="s">
        <v>2231</v>
      </c>
      <c r="B630" s="318">
        <f>kdeg.water*Tempfactor.wsdsC*(BACT.w1C/BACT.test)*FRw.w1C</f>
        <v>4.0542886053799236E-14</v>
      </c>
      <c r="C630" s="317" t="s">
        <v>642</v>
      </c>
    </row>
    <row r="631" spans="1:3" ht="15" x14ac:dyDescent="0.3">
      <c r="A631" s="317" t="s">
        <v>1384</v>
      </c>
      <c r="B631" s="318" t="e">
        <f>kdeg.water*Tempfactor.wsdsR*(BACT.w1R/BACT.test)*FRw.w1R</f>
        <v>#NAME?</v>
      </c>
      <c r="C631" s="317" t="s">
        <v>642</v>
      </c>
    </row>
    <row r="632" spans="1:3" ht="15" x14ac:dyDescent="0.3">
      <c r="A632" s="317" t="s">
        <v>3137</v>
      </c>
      <c r="B632" s="323">
        <f>kdeg.water*Tempfactor.wsdsA*(BACT.w2A/BACT.test)*FRw.w2A</f>
        <v>8.8324753825564043E-15</v>
      </c>
      <c r="C632" s="317" t="s">
        <v>642</v>
      </c>
    </row>
    <row r="633" spans="1:3" ht="15" x14ac:dyDescent="0.3">
      <c r="A633" s="317" t="s">
        <v>2232</v>
      </c>
      <c r="B633" s="318">
        <f>kdeg.water*Tempfactor.wsdsC*(BACT.w2C/BACT.test)*FRw.w2C</f>
        <v>4.0583399769977389E-14</v>
      </c>
      <c r="C633" s="317" t="s">
        <v>642</v>
      </c>
    </row>
    <row r="634" spans="1:3" ht="15" x14ac:dyDescent="0.3">
      <c r="A634" s="317" t="s">
        <v>2780</v>
      </c>
      <c r="B634" s="318">
        <f>kdeg.water*Tempfactor.wsdsM*(BACT.w2M/BACT.test)*FRw.w2M</f>
        <v>4.0583399769977389E-14</v>
      </c>
      <c r="C634" s="317" t="s">
        <v>642</v>
      </c>
    </row>
    <row r="635" spans="1:3" ht="15" x14ac:dyDescent="0.3">
      <c r="A635" s="317" t="s">
        <v>1386</v>
      </c>
      <c r="B635" s="318" t="e">
        <f>kdeg.water*Tempfactor.wsdsR*(BACT.w2R/BACT.test)*FRw.w2R</f>
        <v>#NAME?</v>
      </c>
      <c r="C635" s="317" t="s">
        <v>642</v>
      </c>
    </row>
    <row r="636" spans="1:3" ht="15" x14ac:dyDescent="0.3">
      <c r="A636" s="317" t="s">
        <v>3447</v>
      </c>
      <c r="B636" s="318">
        <f>kdeg.water*Tempfactor.wsdsT*(BACT.w2T/BACT.test)*FRw.w2T</f>
        <v>9.9928051802702045E-14</v>
      </c>
      <c r="C636" s="317" t="s">
        <v>642</v>
      </c>
    </row>
    <row r="637" spans="1:3" ht="15" x14ac:dyDescent="0.3">
      <c r="A637" s="317" t="s">
        <v>3138</v>
      </c>
      <c r="B637" s="323">
        <f>kdeg.water*Tempfactor.wsdsA*(BACT.w3A/BACT.test)*FRw.w3A</f>
        <v>8.8324753825564043E-15</v>
      </c>
      <c r="C637" s="317" t="s">
        <v>642</v>
      </c>
    </row>
    <row r="638" spans="1:3" ht="15" x14ac:dyDescent="0.3">
      <c r="A638" s="317" t="s">
        <v>2782</v>
      </c>
      <c r="B638" s="318">
        <f>kdeg.water*Tempfactor.wsdsM*(BACT.w3M/BACT.test)*FRw.w3M</f>
        <v>4.0583399769977389E-14</v>
      </c>
      <c r="C638" s="317" t="s">
        <v>642</v>
      </c>
    </row>
    <row r="639" spans="1:3" ht="15" x14ac:dyDescent="0.3">
      <c r="A639" s="317" t="s">
        <v>3448</v>
      </c>
      <c r="B639" s="318">
        <f>kdeg.water*Tempfactor.wsdsT*(BACT.w3T/BACT.test)*FRw.w3T</f>
        <v>9.9928051802702045E-14</v>
      </c>
      <c r="C639" s="317" t="s">
        <v>642</v>
      </c>
    </row>
    <row r="640" spans="1:3" ht="15" x14ac:dyDescent="0.3">
      <c r="A640" s="319" t="s">
        <v>4630</v>
      </c>
      <c r="B640" s="321">
        <f>IF(biodeg="r",LN(2)/15*Q.10^(13/10),IF(biodeg="r-",LN(2)/50*Q.10^(13/10),IF(biodeg="i",LN(2)/150*Q.10^(13/10),1E-20)))/(3600*24)</f>
        <v>1.316920183599007E-7</v>
      </c>
      <c r="C640" s="317" t="s">
        <v>642</v>
      </c>
    </row>
    <row r="641" spans="1:3" ht="41.4" x14ac:dyDescent="0.3">
      <c r="A641" s="317" t="s">
        <v>4631</v>
      </c>
      <c r="B641" s="324" t="s">
        <v>4632</v>
      </c>
      <c r="C641" s="317" t="s">
        <v>642</v>
      </c>
    </row>
    <row r="642" spans="1:3" ht="41.4" x14ac:dyDescent="0.3">
      <c r="A642" s="317" t="s">
        <v>4633</v>
      </c>
      <c r="B642" s="324" t="s">
        <v>4634</v>
      </c>
      <c r="C642" s="317" t="s">
        <v>642</v>
      </c>
    </row>
    <row r="643" spans="1:3" ht="41.4" x14ac:dyDescent="0.3">
      <c r="A643" s="317" t="s">
        <v>4635</v>
      </c>
      <c r="B643" s="324" t="s">
        <v>4636</v>
      </c>
      <c r="C643" s="317" t="s">
        <v>642</v>
      </c>
    </row>
    <row r="644" spans="1:3" ht="41.4" x14ac:dyDescent="0.3">
      <c r="A644" s="317" t="s">
        <v>4637</v>
      </c>
      <c r="B644" s="324" t="s">
        <v>4638</v>
      </c>
      <c r="C644" s="317" t="s">
        <v>642</v>
      </c>
    </row>
    <row r="645" spans="1:3" ht="41.4" x14ac:dyDescent="0.3">
      <c r="A645" s="317" t="s">
        <v>4639</v>
      </c>
      <c r="B645" s="324" t="s">
        <v>4640</v>
      </c>
      <c r="C645" s="317" t="s">
        <v>642</v>
      </c>
    </row>
    <row r="646" spans="1:3" ht="15" x14ac:dyDescent="0.3">
      <c r="A646" s="317" t="s">
        <v>4641</v>
      </c>
      <c r="B646" s="318" t="e">
        <f>kdep.A-(GASABSflow.aA.w2A+GASABSflow.aA.sA)/VOLUME.aA-KDEG.aA</f>
        <v>#NAME?</v>
      </c>
      <c r="C646" s="317" t="s">
        <v>642</v>
      </c>
    </row>
    <row r="647" spans="1:3" ht="15" x14ac:dyDescent="0.3">
      <c r="A647" s="317" t="s">
        <v>4642</v>
      </c>
      <c r="B647" s="318" t="e">
        <f>kdep.C-(GASABSflow.aC.w1C+GASABSflow.aC.w2C+GASABSflow.aC.s1C+GASABSflow.aC.s2C+GASABSflow.aC.s3C)/VOLUME.aC-KDEG.aC</f>
        <v>#NAME?</v>
      </c>
      <c r="C647" s="317" t="s">
        <v>642</v>
      </c>
    </row>
    <row r="648" spans="1:3" ht="15" x14ac:dyDescent="0.3">
      <c r="A648" s="317" t="s">
        <v>4643</v>
      </c>
      <c r="B648" s="318" t="e">
        <f>kdep.M-(GASABSflow.aM.w2M+GASABSflow.aM.sM)/VOLUME.aM-KDEG.aM</f>
        <v>#NAME?</v>
      </c>
      <c r="C648" s="317" t="s">
        <v>642</v>
      </c>
    </row>
    <row r="649" spans="1:3" ht="15" x14ac:dyDescent="0.3">
      <c r="A649" s="317" t="s">
        <v>4644</v>
      </c>
      <c r="B649" s="325" t="e">
        <f>kdep.R-(GASABSflow.aR.w1R+GASABSflow.aR.w2R+GASABSflow.aR.s1R+GASABSflow.aR.s2R+GASABSflow.aR.s3R)/SYSTEMAREA.R-KDEG.aR</f>
        <v>#NAME?</v>
      </c>
      <c r="C649" s="317" t="s">
        <v>642</v>
      </c>
    </row>
    <row r="650" spans="1:3" ht="15" x14ac:dyDescent="0.3">
      <c r="A650" s="317" t="s">
        <v>4645</v>
      </c>
      <c r="B650" s="318" t="e">
        <f>kdep.T-(GASABSflow.aT.w2T+GASABSflow.aT.sT)/VOLUME.aT-KDEG.aT</f>
        <v>#NAME?</v>
      </c>
      <c r="C650" s="317" t="s">
        <v>642</v>
      </c>
    </row>
    <row r="651" spans="1:3" ht="15" x14ac:dyDescent="0.3">
      <c r="A651" s="317" t="s">
        <v>3087</v>
      </c>
      <c r="B651" s="318" t="e">
        <f>DRYDEPaerosol.A/HEIGHT.aA + (GASABSflow.aA.w2A+GASABSflow.aA.sA)/VOLUME.aA+KDEG.aA</f>
        <v>#NAME?</v>
      </c>
      <c r="C651" s="317" t="s">
        <v>642</v>
      </c>
    </row>
    <row r="652" spans="1:3" ht="15" x14ac:dyDescent="0.3">
      <c r="A652" s="317" t="s">
        <v>2141</v>
      </c>
      <c r="B652" s="318" t="e">
        <f>DRYDEPaerosol.C/HEIGHT.aC + (GASABSflow.aC.w1C+GASABSflow.aC.w2C+GASABSflow.aC.s1C+GASABSflow.aC.s2C+GASABSflow.aC.s3C)/SYSTEMAREA.C+KDEG.aC</f>
        <v>#NAME?</v>
      </c>
      <c r="C652" s="317" t="s">
        <v>642</v>
      </c>
    </row>
    <row r="653" spans="1:3" ht="15" x14ac:dyDescent="0.3">
      <c r="A653" s="317" t="s">
        <v>2711</v>
      </c>
      <c r="B653" s="318" t="e">
        <f>DRYDEPaerosol.M/HEIGHT.aM + (GASABSflow.aM.w2M+GASABSflow.aM.sM)/VOLUME.aM+KDEG.aM</f>
        <v>#NAME?</v>
      </c>
      <c r="C653" s="317" t="s">
        <v>642</v>
      </c>
    </row>
    <row r="654" spans="1:3" ht="15" x14ac:dyDescent="0.3">
      <c r="A654" s="317" t="s">
        <v>1216</v>
      </c>
      <c r="B654" s="318" t="e">
        <f>DRYDEPaerosol.R/HEIGHT.aR + (GASABSflow.aR.w1R+GASABSflow.aR.w2R+GASABSflow.aR.s1R+GASABSflow.aR.s2R+GASABSflow.aR.s3R)/SYSTEMAREA.R+KDEG.aR</f>
        <v>#NAME?</v>
      </c>
      <c r="C654" s="317" t="s">
        <v>642</v>
      </c>
    </row>
    <row r="655" spans="1:3" ht="15" x14ac:dyDescent="0.3">
      <c r="A655" s="317" t="s">
        <v>3401</v>
      </c>
      <c r="B655" s="318" t="e">
        <f>DRYDEPaerosol.T/HEIGHT.aT + (GASABSflow.aT.w2T+GASABSflow.aT.sT)/VOLUME.aT+KDEG.aT</f>
        <v>#NAME?</v>
      </c>
      <c r="C655" s="317" t="s">
        <v>642</v>
      </c>
    </row>
    <row r="656" spans="1:3" ht="15" x14ac:dyDescent="0.3">
      <c r="A656" s="319" t="s">
        <v>3132</v>
      </c>
      <c r="B656" s="318">
        <f>LN(2)/(60*365*24*3600)</f>
        <v>3.663258818281463E-10</v>
      </c>
      <c r="C656" s="317" t="s">
        <v>642</v>
      </c>
    </row>
    <row r="657" spans="1:3" ht="15" x14ac:dyDescent="0.3">
      <c r="A657" s="319" t="s">
        <v>2224</v>
      </c>
      <c r="B657" s="318">
        <f>LN(2)/(60*365*24*3600)</f>
        <v>3.663258818281463E-10</v>
      </c>
      <c r="C657" s="317" t="s">
        <v>642</v>
      </c>
    </row>
    <row r="658" spans="1:3" ht="15" x14ac:dyDescent="0.3">
      <c r="A658" s="319" t="s">
        <v>2774</v>
      </c>
      <c r="B658" s="318">
        <f>LN(2)/(60*365*24*3600)</f>
        <v>3.663258818281463E-10</v>
      </c>
      <c r="C658" s="317" t="s">
        <v>642</v>
      </c>
    </row>
    <row r="659" spans="1:3" ht="15" x14ac:dyDescent="0.3">
      <c r="A659" s="319" t="s">
        <v>1373</v>
      </c>
      <c r="B659" s="318">
        <f>LN(2)/(60*365*24*3600)</f>
        <v>3.663258818281463E-10</v>
      </c>
      <c r="C659" s="317" t="s">
        <v>642</v>
      </c>
    </row>
    <row r="660" spans="1:3" ht="1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5" x14ac:dyDescent="0.3">
      <c r="A680" s="319" t="s">
        <v>1183</v>
      </c>
      <c r="B680" s="318">
        <f>(FRorig.s3*Ksw+(1-FRorig.s3)*Ksw.alt)*(1000/RHOsolid/CORG)*CORG.s3R</f>
        <v>20</v>
      </c>
      <c r="C680" s="317" t="s">
        <v>1121</v>
      </c>
    </row>
    <row r="681" spans="1:3" ht="1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5" x14ac:dyDescent="0.3">
      <c r="A685" s="319" t="s">
        <v>1153</v>
      </c>
      <c r="B685" s="318">
        <f>(FRorig.sd2*Ksw+(1-FRorig.sd2)*Ksw.alt)*(1000/RHOsolid/CORG)*CORG.sd2R</f>
        <v>50</v>
      </c>
      <c r="C685" s="317" t="s">
        <v>1121</v>
      </c>
    </row>
    <row r="686" spans="1:3" ht="15" x14ac:dyDescent="0.3">
      <c r="A686" s="319" t="s">
        <v>3073</v>
      </c>
      <c r="B686" s="318">
        <f>(FRorig.sd2*Ksw+(1-FRorig.sd2)*Ksw.alt)*(1000/RHOsolid/CORG)*CORG.sdA</f>
        <v>50</v>
      </c>
      <c r="C686" s="317" t="s">
        <v>1121</v>
      </c>
    </row>
    <row r="687" spans="1:3" ht="15" x14ac:dyDescent="0.3">
      <c r="A687" s="319" t="s">
        <v>2685</v>
      </c>
      <c r="B687" s="318">
        <f>(FRorig.sd2*Ksw+(1-FRorig.sd2)*Ksw.alt)*(1000/RHOsolid/CORG)*CORG.sdM</f>
        <v>50</v>
      </c>
      <c r="C687" s="317" t="s">
        <v>1121</v>
      </c>
    </row>
    <row r="688" spans="1:3" ht="15" x14ac:dyDescent="0.3">
      <c r="A688" s="319" t="s">
        <v>3388</v>
      </c>
      <c r="B688" s="318">
        <f>(FRorig.sd2*Ksw+(1-FRorig.sd2)*Ksw.alt)*(1000/RHOsolid/CORG)*CORG.sdT</f>
        <v>50</v>
      </c>
      <c r="C688" s="317" t="s">
        <v>1121</v>
      </c>
    </row>
    <row r="689" spans="1:3" ht="15" x14ac:dyDescent="0.3">
      <c r="A689" s="319" t="s">
        <v>2695</v>
      </c>
      <c r="B689" s="318">
        <f>(FRorig.s1*Ksw+(1-FRorig.s1)*Ksw.alt)*(1000/RHOsolid/CORG)*CORG.sM</f>
        <v>20</v>
      </c>
      <c r="C689" s="317" t="s">
        <v>1121</v>
      </c>
    </row>
    <row r="690" spans="1:3" ht="15" x14ac:dyDescent="0.3">
      <c r="A690" s="319" t="s">
        <v>3393</v>
      </c>
      <c r="B690" s="318">
        <f>(FRorig.s1*Ksw+(1-FRorig.s1)*Ksw.alt)*(1000/RHOsolid/CORG)*CORG.sT</f>
        <v>20</v>
      </c>
      <c r="C690" s="317" t="s">
        <v>1121</v>
      </c>
    </row>
    <row r="691" spans="1:3" ht="15" x14ac:dyDescent="0.3">
      <c r="A691" s="319" t="s">
        <v>2070</v>
      </c>
      <c r="B691" s="318">
        <f>(FRorig.w1*Ksw+(1-FRorig.w1)*Ksw.alt)*(1000/RHOsolid/CORG)*CORG.susp0C</f>
        <v>100</v>
      </c>
      <c r="C691" s="317" t="s">
        <v>1121</v>
      </c>
    </row>
    <row r="692" spans="1:3" ht="1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5" x14ac:dyDescent="0.3">
      <c r="A694" s="319" t="s">
        <v>1130</v>
      </c>
      <c r="B694" s="318">
        <f>(FRorig.w1*Ksw+(1-FRorig.w1)*Ksw.alt)*(1000/RHOsolid/CORG)*CORG.susp1R</f>
        <v>100</v>
      </c>
      <c r="C694" s="317" t="s">
        <v>1121</v>
      </c>
    </row>
    <row r="695" spans="1:3" ht="1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5" x14ac:dyDescent="0.3">
      <c r="A697" s="319" t="s">
        <v>2663</v>
      </c>
      <c r="B697" s="318">
        <f>(FRorig.w2*Ksw+(1-FRorig.w2)*Ksw.alt)*(1000/RHOsolid/CORG)*CORG.susp2M</f>
        <v>100</v>
      </c>
      <c r="C697" s="317" t="s">
        <v>1121</v>
      </c>
    </row>
    <row r="698" spans="1:3" ht="15" x14ac:dyDescent="0.3">
      <c r="A698" s="319" t="s">
        <v>1135</v>
      </c>
      <c r="B698" s="318">
        <f>(FRorig.w2*Ksw+(1-FRorig.w2)*Ksw.alt)*(1000/RHOsolid/CORG)*CORG.susp2R</f>
        <v>100</v>
      </c>
      <c r="C698" s="317" t="s">
        <v>1121</v>
      </c>
    </row>
    <row r="699" spans="1:3" ht="15" x14ac:dyDescent="0.3">
      <c r="A699" s="319" t="s">
        <v>3377</v>
      </c>
      <c r="B699" s="318">
        <f>(FRorig.w2*Ksw+(1-FRorig.w2)*Ksw.alt)*(1000/RHOsolid/CORG)*CORG.susp2T</f>
        <v>100</v>
      </c>
      <c r="C699" s="317" t="s">
        <v>1121</v>
      </c>
    </row>
    <row r="700" spans="1:3" ht="15" x14ac:dyDescent="0.3">
      <c r="A700" s="319" t="s">
        <v>3063</v>
      </c>
      <c r="B700" s="318">
        <f>(FRorig.w2*Ksw+(1-FRorig.w2)*Ksw.alt)*(1000/RHOsolid/CORG)*CORG.susp3A</f>
        <v>100</v>
      </c>
      <c r="C700" s="317" t="s">
        <v>1121</v>
      </c>
    </row>
    <row r="701" spans="1:3" ht="15" x14ac:dyDescent="0.3">
      <c r="A701" s="319" t="s">
        <v>2665</v>
      </c>
      <c r="B701" s="318">
        <f>(FRorig.w2*Ksw+(1-FRorig.w2)*Ksw.alt)*(1000/RHOsolid/CORG)*CORG.susp3M</f>
        <v>100</v>
      </c>
      <c r="C701" s="317" t="s">
        <v>1122</v>
      </c>
    </row>
    <row r="702" spans="1:3" ht="1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5" x14ac:dyDescent="0.3">
      <c r="A721" s="317" t="s">
        <v>3089</v>
      </c>
      <c r="B721" s="318" t="e">
        <f>(AerosolWashout.A+GasWashout.A)/HEIGHT.aA + (GASABSflow.aA.w2A+GASABSflow.aA.sA)/VOLUME.aA+KDEG.aA</f>
        <v>#NAME?</v>
      </c>
      <c r="C721" s="317" t="s">
        <v>642</v>
      </c>
    </row>
    <row r="722" spans="1:3" ht="15" x14ac:dyDescent="0.3">
      <c r="A722" s="317" t="s">
        <v>2143</v>
      </c>
      <c r="B722" s="318" t="e">
        <f>(AerosolWashout.C+GasWashout.C)/HEIGHT.aC + (GASABSflow.aC.w1C+GASABSflow.aC.w2C+GASABSflow.aC.s1C+GASABSflow.aC.s2C+GASABSflow.aC.s3C)/SYSTEMAREA.C+KDEG.aC</f>
        <v>#NAME?</v>
      </c>
      <c r="C722" s="317" t="s">
        <v>642</v>
      </c>
    </row>
    <row r="723" spans="1:3" ht="15" x14ac:dyDescent="0.3">
      <c r="A723" s="317" t="s">
        <v>2713</v>
      </c>
      <c r="B723" s="318" t="e">
        <f>(AerosolWashout.M+GasWashout.M)/HEIGHT.aM + (GASABSflow.aM.w2M+GASABSflow.aM.sM)/VOLUME.aM+KDEG.aM</f>
        <v>#NAME?</v>
      </c>
      <c r="C723" s="317" t="s">
        <v>642</v>
      </c>
    </row>
    <row r="724" spans="1:3" ht="15" x14ac:dyDescent="0.3">
      <c r="A724" s="317" t="s">
        <v>1218</v>
      </c>
      <c r="B724" s="318" t="e">
        <v>#NAME?</v>
      </c>
      <c r="C724" s="317" t="s">
        <v>642</v>
      </c>
    </row>
    <row r="725" spans="1:3" ht="15" x14ac:dyDescent="0.3">
      <c r="A725" s="317" t="s">
        <v>3402</v>
      </c>
      <c r="B725" s="318" t="e">
        <f>(AerosolWashout.T+GasWashout.T)/HEIGHT.aT + (GASABSflow.aT.w2T+GASABSflow.aT.sT)/VOLUME.aT+KDEG.aT</f>
        <v>#NAME?</v>
      </c>
      <c r="C725" s="317" t="s">
        <v>642</v>
      </c>
    </row>
    <row r="726" spans="1:3" ht="15" x14ac:dyDescent="0.3">
      <c r="A726" s="321" t="s">
        <v>3121</v>
      </c>
      <c r="B726" s="321">
        <v>2.7779999999999998E-8</v>
      </c>
      <c r="C726" s="320" t="s">
        <v>1226</v>
      </c>
    </row>
    <row r="727" spans="1:3" ht="15" x14ac:dyDescent="0.3">
      <c r="A727" s="321" t="s">
        <v>2198</v>
      </c>
      <c r="B727" s="321">
        <v>2.7779999999999998E-8</v>
      </c>
      <c r="C727" s="319" t="s">
        <v>1226</v>
      </c>
    </row>
    <row r="728" spans="1:3" ht="15" x14ac:dyDescent="0.3">
      <c r="A728" s="321" t="s">
        <v>2757</v>
      </c>
      <c r="B728" s="321">
        <v>2.7779999999999998E-8</v>
      </c>
      <c r="C728" s="320" t="s">
        <v>1226</v>
      </c>
    </row>
    <row r="729" spans="1:3" ht="15" x14ac:dyDescent="0.3">
      <c r="A729" s="321" t="s">
        <v>1323</v>
      </c>
      <c r="B729" s="318">
        <v>2.7780000000000001E-8</v>
      </c>
      <c r="C729" s="319" t="s">
        <v>1226</v>
      </c>
    </row>
    <row r="730" spans="1:3" ht="15" x14ac:dyDescent="0.3">
      <c r="A730" s="321" t="s">
        <v>3432</v>
      </c>
      <c r="B730" s="321">
        <v>2.7779999999999998E-8</v>
      </c>
      <c r="C730" s="320" t="s">
        <v>1226</v>
      </c>
    </row>
    <row r="731" spans="1:3" ht="15" x14ac:dyDescent="0.3">
      <c r="A731" s="321" t="s">
        <v>3120</v>
      </c>
      <c r="B731" s="321">
        <v>2.7779999999999999E-6</v>
      </c>
      <c r="C731" s="320" t="s">
        <v>1226</v>
      </c>
    </row>
    <row r="732" spans="1:3" ht="15" x14ac:dyDescent="0.3">
      <c r="A732" s="321" t="s">
        <v>2197</v>
      </c>
      <c r="B732" s="321">
        <v>2.7779999999999999E-6</v>
      </c>
      <c r="C732" s="319" t="s">
        <v>1226</v>
      </c>
    </row>
    <row r="733" spans="1:3" ht="15" x14ac:dyDescent="0.3">
      <c r="A733" s="321" t="s">
        <v>2756</v>
      </c>
      <c r="B733" s="321">
        <v>2.7779999999999999E-6</v>
      </c>
      <c r="C733" s="320" t="s">
        <v>1226</v>
      </c>
    </row>
    <row r="734" spans="1:3" ht="15" x14ac:dyDescent="0.3">
      <c r="A734" s="321" t="s">
        <v>1321</v>
      </c>
      <c r="B734" s="318">
        <v>2.7779999999999999E-6</v>
      </c>
      <c r="C734" s="319" t="s">
        <v>1226</v>
      </c>
    </row>
    <row r="735" spans="1:3" ht="15" x14ac:dyDescent="0.3">
      <c r="A735" s="321" t="s">
        <v>3431</v>
      </c>
      <c r="B735" s="321">
        <v>2.7779999999999999E-6</v>
      </c>
      <c r="C735" s="320" t="s">
        <v>1226</v>
      </c>
    </row>
    <row r="736" spans="1:3" ht="15" x14ac:dyDescent="0.3">
      <c r="A736" s="317" t="s">
        <v>4646</v>
      </c>
      <c r="B736" s="318">
        <f>FRACinf.s1C*RAINrate.C/Ks1w.C*SYSTEMAREA.C*AREAFRAC.s1C*CORRleach.s1C</f>
        <v>1.4807522790689052</v>
      </c>
      <c r="C736" s="317" t="s">
        <v>1089</v>
      </c>
    </row>
    <row r="737" spans="1:3" ht="15" x14ac:dyDescent="0.3">
      <c r="A737" s="317" t="s">
        <v>4647</v>
      </c>
      <c r="B737" s="318">
        <f>FRACinf.s1R*RAINrate.R/Ks1w.R*SYSTEMAREA.R*AREAFRAC.s1R*CORRleach.s1R</f>
        <v>9.7094401471891897E-2</v>
      </c>
      <c r="C737" s="317" t="s">
        <v>1089</v>
      </c>
    </row>
    <row r="738" spans="1:3" ht="15" x14ac:dyDescent="0.3">
      <c r="A738" s="317" t="s">
        <v>4648</v>
      </c>
      <c r="B738" s="318">
        <f>FRACinf.s2C*RAINrate.C/Ks2w.C*SYSTEMAREA.C*AREAFRAC.s2C*CORRleach.s2C</f>
        <v>5.9895341687292962</v>
      </c>
      <c r="C738" s="317" t="s">
        <v>1089</v>
      </c>
    </row>
    <row r="739" spans="1:3" ht="15" x14ac:dyDescent="0.3">
      <c r="A739" s="317" t="s">
        <v>4649</v>
      </c>
      <c r="B739" s="318">
        <f>FRACinf.s2R*RAINrate.R/Ks2w.R*SYSTEMAREA.R*AREAFRAC.s2R*CORRleach.s2R</f>
        <v>0.39273971982261235</v>
      </c>
      <c r="C739" s="317" t="s">
        <v>1089</v>
      </c>
    </row>
    <row r="740" spans="1:3" ht="15" x14ac:dyDescent="0.3">
      <c r="A740" s="317" t="s">
        <v>4650</v>
      </c>
      <c r="B740" s="318">
        <f>FRACinf.s3C*RAINrate.C/Ks3w.C*SYSTEMAREA.C*AREAFRAC.s3C*CORRleach.s3C</f>
        <v>0.54842677002552032</v>
      </c>
      <c r="C740" s="317" t="s">
        <v>1089</v>
      </c>
    </row>
    <row r="741" spans="1:3" ht="15" x14ac:dyDescent="0.3">
      <c r="A741" s="317" t="s">
        <v>4651</v>
      </c>
      <c r="B741" s="318">
        <f>FRACinf.s3R*RAINrate.R/Ks3w.R*SYSTEMAREA.R*AREAFRAC.s3R*CORRleach.s3R</f>
        <v>3.5960889434034034E-2</v>
      </c>
      <c r="C741" s="317" t="s">
        <v>1089</v>
      </c>
    </row>
    <row r="742" spans="1:3" ht="15" x14ac:dyDescent="0.3">
      <c r="A742" s="317" t="s">
        <v>4652</v>
      </c>
      <c r="B742" s="318">
        <f>FRACinf.sA*RAINrate.A/Kslw.A*SYSTEMAREA.A*AREAFRAC.sA*CORRleach.sA</f>
        <v>9.5521709569837707</v>
      </c>
      <c r="C742" s="317" t="s">
        <v>1089</v>
      </c>
    </row>
    <row r="743" spans="1:3" ht="15" x14ac:dyDescent="0.3">
      <c r="A743" s="317" t="s">
        <v>4653</v>
      </c>
      <c r="B743" s="325">
        <f>FRACinf.sM*RAINrate.M/Kslw.M*SYSTEMAREA.M*AREAFRAC.sM*CORRleach.sM</f>
        <v>61.021320104290851</v>
      </c>
      <c r="C743" s="317" t="s">
        <v>1089</v>
      </c>
    </row>
    <row r="744" spans="1:3" ht="15" x14ac:dyDescent="0.3">
      <c r="A744" s="317" t="s">
        <v>4654</v>
      </c>
      <c r="B744" s="318">
        <f>FRACinf.sT*RAINrate.T/Kslw.T*SYSTEMAREA.T*AREAFRAC.sT*CORRleach.sT</f>
        <v>111.76040019671012</v>
      </c>
      <c r="C744" s="317" t="s">
        <v>1089</v>
      </c>
    </row>
    <row r="745" spans="1:3" ht="15" x14ac:dyDescent="0.3">
      <c r="A745" s="321" t="s">
        <v>3106</v>
      </c>
      <c r="B745" s="318">
        <f>0.43/(24*3600)/0.00475</f>
        <v>1.0477582846003899E-3</v>
      </c>
      <c r="C745" s="320" t="s">
        <v>1226</v>
      </c>
    </row>
    <row r="746" spans="1:3" ht="15" x14ac:dyDescent="0.3">
      <c r="A746" s="321" t="s">
        <v>4655</v>
      </c>
      <c r="B746" s="318">
        <f>0.43/(24*3600)/0.00475</f>
        <v>1.0477582846003899E-3</v>
      </c>
      <c r="C746" s="319" t="s">
        <v>1226</v>
      </c>
    </row>
    <row r="747" spans="1:3" ht="15" x14ac:dyDescent="0.3">
      <c r="A747" s="321" t="s">
        <v>2734</v>
      </c>
      <c r="B747" s="318">
        <f>0.43/(24*3600)/0.00475</f>
        <v>1.0477582846003899E-3</v>
      </c>
      <c r="C747" s="320" t="s">
        <v>1226</v>
      </c>
    </row>
    <row r="748" spans="1:3" ht="15" x14ac:dyDescent="0.3">
      <c r="A748" s="321" t="s">
        <v>1257</v>
      </c>
      <c r="B748" s="318">
        <f>0.43/(24*3600)/0.00475</f>
        <v>1.0477582846003899E-3</v>
      </c>
      <c r="C748" s="319" t="s">
        <v>1226</v>
      </c>
    </row>
    <row r="749" spans="1:3" ht="15" x14ac:dyDescent="0.3">
      <c r="A749" s="321" t="s">
        <v>3418</v>
      </c>
      <c r="B749" s="318">
        <f>0.43/(24*3600)/0.00475</f>
        <v>1.0477582846003899E-3</v>
      </c>
      <c r="C749" s="320" t="s">
        <v>1226</v>
      </c>
    </row>
    <row r="750" spans="1:3" ht="15" x14ac:dyDescent="0.3">
      <c r="A750" s="321" t="s">
        <v>3107</v>
      </c>
      <c r="B750" s="318">
        <f>0.1*KDEG.sA</f>
        <v>8.838834764831846E-18</v>
      </c>
      <c r="C750" s="319" t="s">
        <v>1226</v>
      </c>
    </row>
    <row r="751" spans="1:3" ht="15" x14ac:dyDescent="0.3">
      <c r="A751" s="321" t="s">
        <v>4656</v>
      </c>
      <c r="B751" s="323">
        <f>0.1*KDEG.s1C</f>
        <v>4.0612619817811778E-17</v>
      </c>
      <c r="C751" s="319" t="s">
        <v>1226</v>
      </c>
    </row>
    <row r="752" spans="1:3" ht="15" x14ac:dyDescent="0.3">
      <c r="A752" s="321" t="s">
        <v>2735</v>
      </c>
      <c r="B752" s="318">
        <f>0.1*KDEG.sM</f>
        <v>4.0612619817811778E-17</v>
      </c>
      <c r="C752" s="319" t="s">
        <v>1226</v>
      </c>
    </row>
    <row r="753" spans="1:3" ht="15" x14ac:dyDescent="0.3">
      <c r="A753" s="321" t="s">
        <v>1259</v>
      </c>
      <c r="B753" s="318">
        <f>0.1*KDEG.s1R</f>
        <v>4.0612619817811778E-17</v>
      </c>
      <c r="C753" s="319" t="s">
        <v>1226</v>
      </c>
    </row>
    <row r="754" spans="1:3" ht="15" x14ac:dyDescent="0.3">
      <c r="A754" s="321" t="s">
        <v>3419</v>
      </c>
      <c r="B754" s="318">
        <f>0.1*KDEG.sT</f>
        <v>1.0000000000000001E-16</v>
      </c>
      <c r="C754" s="319" t="s">
        <v>1226</v>
      </c>
    </row>
    <row r="755" spans="1:3" ht="15" x14ac:dyDescent="0.3">
      <c r="A755" s="321" t="s">
        <v>3103</v>
      </c>
      <c r="B755" s="318">
        <f>0.01*(0.3+0.2*WINDspeed.A)*((0.018/Molweight)^(0.67*0.5))</f>
        <v>5.0841810602709056E-3</v>
      </c>
      <c r="C755" s="320" t="s">
        <v>1226</v>
      </c>
    </row>
    <row r="756" spans="1:3" ht="15" x14ac:dyDescent="0.3">
      <c r="A756" s="321" t="s">
        <v>4657</v>
      </c>
      <c r="B756" s="318">
        <f>0.01*(0.3+0.2*WINDspeed.C)*((0.018/Molweight)^(0.67*0.5))</f>
        <v>5.0841810602709056E-3</v>
      </c>
      <c r="C756" s="319" t="s">
        <v>1226</v>
      </c>
    </row>
    <row r="757" spans="1:3" ht="15" x14ac:dyDescent="0.3">
      <c r="A757" s="321" t="s">
        <v>2730</v>
      </c>
      <c r="B757" s="318">
        <f>0.01*(0.3+0.2*WINDspeed.M)*((0.018/Molweight)^(0.67*0.5))</f>
        <v>5.0841810602709056E-3</v>
      </c>
      <c r="C757" s="320" t="s">
        <v>1226</v>
      </c>
    </row>
    <row r="758" spans="1:3" ht="15" x14ac:dyDescent="0.3">
      <c r="A758" s="321" t="s">
        <v>1247</v>
      </c>
      <c r="B758" s="318">
        <f>0.01*(0.3+0.2*WINDspeed.R)*((0.018/Molweight)^(0.67*0.5))</f>
        <v>5.0841810602709056E-3</v>
      </c>
      <c r="C758" s="319" t="s">
        <v>1226</v>
      </c>
    </row>
    <row r="759" spans="1:3" ht="15" x14ac:dyDescent="0.3">
      <c r="A759" s="321" t="s">
        <v>3415</v>
      </c>
      <c r="B759" s="318">
        <f>0.01*(0.3+0.2*WINDspeed.T)*((0.018/Molweight)^(0.67*0.5))</f>
        <v>5.0841810602709056E-3</v>
      </c>
      <c r="C759" s="320" t="s">
        <v>1226</v>
      </c>
    </row>
    <row r="760" spans="1:3" ht="15" x14ac:dyDescent="0.3">
      <c r="A760" s="321" t="s">
        <v>3104</v>
      </c>
      <c r="B760" s="318">
        <f>0.01*(0.0004+0.00004*WINDspeed.A^2)*((0.032/Molweight)^(0.5*0.5))</f>
        <v>5.7304969829151961E-6</v>
      </c>
      <c r="C760" s="320" t="s">
        <v>1226</v>
      </c>
    </row>
    <row r="761" spans="1:3" ht="15" x14ac:dyDescent="0.3">
      <c r="A761" s="321" t="s">
        <v>4658</v>
      </c>
      <c r="B761" s="318">
        <f>0.01*(0.0004+0.00004*WINDspeed.C^2)*((0.032/Molweight)^(0.5*0.5))</f>
        <v>5.7304969829151961E-6</v>
      </c>
      <c r="C761" s="319" t="s">
        <v>1226</v>
      </c>
    </row>
    <row r="762" spans="1:3" ht="15" x14ac:dyDescent="0.3">
      <c r="A762" s="321" t="s">
        <v>2731</v>
      </c>
      <c r="B762" s="318">
        <f>0.01*(0.0004+0.00004*WINDspeed.M^2)*((0.032/Molweight)^(0.5*0.5))</f>
        <v>5.7304969829151961E-6</v>
      </c>
      <c r="C762" s="320" t="s">
        <v>1226</v>
      </c>
    </row>
    <row r="763" spans="1:3" ht="15" x14ac:dyDescent="0.3">
      <c r="A763" s="321" t="s">
        <v>1249</v>
      </c>
      <c r="B763" s="318">
        <f>0.01*(0.0004+0.00004*WINDspeed.R^2)*((0.032/Molweight)^(0.5*0.5))</f>
        <v>5.7304969829151961E-6</v>
      </c>
      <c r="C763" s="319" t="s">
        <v>1226</v>
      </c>
    </row>
    <row r="764" spans="1:3" ht="15" x14ac:dyDescent="0.3">
      <c r="A764" s="321" t="s">
        <v>3416</v>
      </c>
      <c r="B764" s="318">
        <f>0.01*(0.0004+0.00004*WINDspeed.T^2)*((0.032/Molweight)^(0.5*0.5))</f>
        <v>5.7304969829151961E-6</v>
      </c>
      <c r="C764" s="320" t="s">
        <v>1226</v>
      </c>
    </row>
    <row r="765" spans="1:3" ht="15" x14ac:dyDescent="0.3">
      <c r="A765" s="319" t="s">
        <v>2189</v>
      </c>
      <c r="B765" s="318">
        <v>8.6226851854606775E-11</v>
      </c>
      <c r="C765" s="319" t="s">
        <v>1226</v>
      </c>
    </row>
    <row r="766" spans="1:3" ht="15" x14ac:dyDescent="0.3">
      <c r="A766" s="319" t="s">
        <v>1302</v>
      </c>
      <c r="B766" s="318">
        <v>8.6861047691527155E-11</v>
      </c>
      <c r="C766" s="319" t="s">
        <v>1226</v>
      </c>
    </row>
    <row r="767" spans="1:3" ht="15" x14ac:dyDescent="0.3">
      <c r="A767" s="319" t="s">
        <v>2190</v>
      </c>
      <c r="B767" s="318">
        <v>0</v>
      </c>
      <c r="C767" s="319" t="s">
        <v>1226</v>
      </c>
    </row>
    <row r="768" spans="1:3" ht="15" x14ac:dyDescent="0.3">
      <c r="A768" s="319" t="s">
        <v>1305</v>
      </c>
      <c r="B768" s="318">
        <v>2.7428797247595103E-11</v>
      </c>
      <c r="C768" s="319" t="s">
        <v>1226</v>
      </c>
    </row>
    <row r="769" spans="1:3" ht="15" x14ac:dyDescent="0.3">
      <c r="A769" s="319" t="s">
        <v>3115</v>
      </c>
      <c r="B769" s="318">
        <v>6.3419583967528499E-14</v>
      </c>
      <c r="C769" s="320" t="s">
        <v>1226</v>
      </c>
    </row>
    <row r="770" spans="1:3" ht="15" x14ac:dyDescent="0.3">
      <c r="A770" s="319" t="s">
        <v>2748</v>
      </c>
      <c r="B770" s="318">
        <v>8.9518029439684741E-14</v>
      </c>
      <c r="C770" s="320" t="s">
        <v>1226</v>
      </c>
    </row>
    <row r="771" spans="1:3" ht="15" x14ac:dyDescent="0.3">
      <c r="A771" s="319" t="s">
        <v>3427</v>
      </c>
      <c r="B771" s="318">
        <v>6.3419583967529484E-14</v>
      </c>
      <c r="C771" s="320" t="s">
        <v>1226</v>
      </c>
    </row>
    <row r="772" spans="1:3" ht="15" x14ac:dyDescent="0.3">
      <c r="A772" s="317" t="s">
        <v>2638</v>
      </c>
      <c r="B772" s="318">
        <v>150000000</v>
      </c>
      <c r="C772" s="321" t="s">
        <v>1089</v>
      </c>
    </row>
    <row r="773" spans="1:3" ht="15" x14ac:dyDescent="0.3">
      <c r="A773" s="317" t="s">
        <v>3050</v>
      </c>
      <c r="B773" s="318">
        <f>VOLUME.w2A/TAU.surfA</f>
        <v>536616161.61616164</v>
      </c>
      <c r="C773" s="321" t="s">
        <v>1089</v>
      </c>
    </row>
    <row r="774" spans="1:3" ht="15" x14ac:dyDescent="0.3">
      <c r="A774" s="317" t="s">
        <v>2644</v>
      </c>
      <c r="B774" s="318">
        <f>VOLUME.w2M/TAU.surfM</f>
        <v>816195075.75757575</v>
      </c>
      <c r="C774" s="321" t="s">
        <v>1089</v>
      </c>
    </row>
    <row r="775" spans="1:3" ht="1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5" x14ac:dyDescent="0.3">
      <c r="A789" s="319" t="s">
        <v>2191</v>
      </c>
      <c r="B789" s="318">
        <v>10</v>
      </c>
      <c r="C789" s="317" t="s">
        <v>1308</v>
      </c>
    </row>
    <row r="790" spans="1:3" ht="15" x14ac:dyDescent="0.3">
      <c r="A790" s="319" t="s">
        <v>1307</v>
      </c>
      <c r="B790" s="318">
        <v>10</v>
      </c>
      <c r="C790" s="317" t="s">
        <v>1308</v>
      </c>
    </row>
    <row r="791" spans="1:3" ht="15" x14ac:dyDescent="0.3">
      <c r="A791" s="319" t="s">
        <v>2192</v>
      </c>
      <c r="B791" s="318">
        <v>5</v>
      </c>
      <c r="C791" s="317" t="s">
        <v>1308</v>
      </c>
    </row>
    <row r="792" spans="1:3" ht="15" x14ac:dyDescent="0.3">
      <c r="A792" s="319" t="s">
        <v>1311</v>
      </c>
      <c r="B792" s="318">
        <v>10</v>
      </c>
      <c r="C792" s="317" t="s">
        <v>1308</v>
      </c>
    </row>
    <row r="793" spans="1:3" ht="15" x14ac:dyDescent="0.3">
      <c r="A793" s="319" t="s">
        <v>3116</v>
      </c>
      <c r="B793" s="318">
        <v>1</v>
      </c>
      <c r="C793" s="317" t="s">
        <v>1308</v>
      </c>
    </row>
    <row r="794" spans="1:3" ht="15" x14ac:dyDescent="0.3">
      <c r="A794" s="319" t="s">
        <v>2750</v>
      </c>
      <c r="B794" s="318">
        <v>1</v>
      </c>
      <c r="C794" s="317" t="s">
        <v>1308</v>
      </c>
    </row>
    <row r="795" spans="1:3" ht="15" x14ac:dyDescent="0.3">
      <c r="A795" s="319" t="s">
        <v>3428</v>
      </c>
      <c r="B795" s="321">
        <v>1</v>
      </c>
      <c r="C795" s="317" t="s">
        <v>1308</v>
      </c>
    </row>
    <row r="796" spans="1:3" ht="41.4" x14ac:dyDescent="0.3">
      <c r="A796" s="321" t="s">
        <v>595</v>
      </c>
      <c r="B796" s="324" t="s">
        <v>4664</v>
      </c>
      <c r="C796" s="321" t="s">
        <v>596</v>
      </c>
    </row>
    <row r="797" spans="1:3" x14ac:dyDescent="0.3">
      <c r="A797" s="317" t="s">
        <v>665</v>
      </c>
      <c r="B797" s="321">
        <v>2</v>
      </c>
      <c r="C797" s="317" t="s">
        <v>314</v>
      </c>
    </row>
    <row r="798" spans="1:3" ht="15" x14ac:dyDescent="0.3">
      <c r="A798" s="319" t="s">
        <v>3097</v>
      </c>
      <c r="B798" s="318">
        <v>250</v>
      </c>
      <c r="C798" s="319" t="s">
        <v>2722</v>
      </c>
    </row>
    <row r="799" spans="1:3" ht="15" x14ac:dyDescent="0.3">
      <c r="A799" s="321" t="s">
        <v>771</v>
      </c>
      <c r="B799" s="321">
        <v>700</v>
      </c>
      <c r="C799" s="321" t="s">
        <v>718</v>
      </c>
    </row>
    <row r="800" spans="1:3" ht="15" x14ac:dyDescent="0.3">
      <c r="A800" s="319" t="s">
        <v>2721</v>
      </c>
      <c r="B800" s="318">
        <v>700</v>
      </c>
      <c r="C800" s="319" t="s">
        <v>2722</v>
      </c>
    </row>
    <row r="801" spans="1:3" ht="15" x14ac:dyDescent="0.3">
      <c r="A801" s="321" t="s">
        <v>717</v>
      </c>
      <c r="B801" s="321">
        <v>700</v>
      </c>
      <c r="C801" s="321" t="s">
        <v>718</v>
      </c>
    </row>
    <row r="802" spans="1:3" ht="15" x14ac:dyDescent="0.3">
      <c r="A802" s="319" t="s">
        <v>3409</v>
      </c>
      <c r="B802" s="321">
        <v>1300</v>
      </c>
      <c r="C802" s="319" t="s">
        <v>2722</v>
      </c>
    </row>
    <row r="803" spans="1:3" ht="15" x14ac:dyDescent="0.3">
      <c r="A803" s="317" t="s">
        <v>4665</v>
      </c>
      <c r="B803" s="318" t="e">
        <f>RESUSPrate.sd1C*SYSTEMAREA.C*AREAFRAC.w1C</f>
        <v>#NAME?</v>
      </c>
      <c r="C803" s="317" t="s">
        <v>1089</v>
      </c>
    </row>
    <row r="804" spans="1:3" ht="15" x14ac:dyDescent="0.3">
      <c r="A804" s="317" t="s">
        <v>4666</v>
      </c>
      <c r="B804" s="318" t="e">
        <f>RESUSPrate.sd1R*SYSTEMAREA.R*AREAFRAC.w1R</f>
        <v>#NAME?</v>
      </c>
      <c r="C804" s="317" t="s">
        <v>1089</v>
      </c>
    </row>
    <row r="805" spans="1:3" ht="15" x14ac:dyDescent="0.3">
      <c r="A805" s="317" t="s">
        <v>4667</v>
      </c>
      <c r="B805" s="318" t="e">
        <f>RESUSPrate.sd2C*SYSTEMAREA.C*AREAFRAC.w2C</f>
        <v>#NAME?</v>
      </c>
      <c r="C805" s="317" t="s">
        <v>1089</v>
      </c>
    </row>
    <row r="806" spans="1:3" ht="15" x14ac:dyDescent="0.3">
      <c r="A806" s="317" t="s">
        <v>4668</v>
      </c>
      <c r="B806" s="318" t="e">
        <f>RESUSPrate.sd2R*SYSTEMAREA.R*AREAFRAC.w2R</f>
        <v>#NAME?</v>
      </c>
      <c r="C806" s="317" t="s">
        <v>1089</v>
      </c>
    </row>
    <row r="807" spans="1:3" ht="15" x14ac:dyDescent="0.3">
      <c r="A807" s="317" t="s">
        <v>4669</v>
      </c>
      <c r="B807" s="318" t="e">
        <f>RESUSPrate.sdA*SYSTEMAREA.A*AREAFRAC.wA</f>
        <v>#NAME?</v>
      </c>
      <c r="C807" s="321" t="s">
        <v>1089</v>
      </c>
    </row>
    <row r="808" spans="1:3" ht="15" x14ac:dyDescent="0.3">
      <c r="A808" s="317" t="s">
        <v>4670</v>
      </c>
      <c r="B808" s="318" t="e">
        <f>RESUSPrate.sdM*SYSTEMAREA.M*AREAFRAC.wM</f>
        <v>#NAME?</v>
      </c>
      <c r="C808" s="321" t="s">
        <v>1089</v>
      </c>
    </row>
    <row r="809" spans="1:3" ht="15" x14ac:dyDescent="0.3">
      <c r="A809" s="317" t="s">
        <v>4671</v>
      </c>
      <c r="B809" s="318" t="e">
        <f>RESUSPrate.sdT*SYSTEMAREA.T*AREAFRAC.wT</f>
        <v>#NAME?</v>
      </c>
      <c r="C809" s="321" t="s">
        <v>1089</v>
      </c>
    </row>
    <row r="810" spans="1:3" ht="15" x14ac:dyDescent="0.3">
      <c r="A810" s="319" t="s">
        <v>4672</v>
      </c>
      <c r="B810" s="318">
        <f>GROSSSEDrate.w1C-NETsedrate.w1C</f>
        <v>7.9608572299569295E-10</v>
      </c>
      <c r="C810" s="319" t="s">
        <v>1226</v>
      </c>
    </row>
    <row r="811" spans="1:3" ht="15" x14ac:dyDescent="0.3">
      <c r="A811" s="319" t="s">
        <v>4673</v>
      </c>
      <c r="B811" s="318">
        <f>GROSSSEDrate.w1R-NETsedrate.w1R</f>
        <v>7.954515271587726E-10</v>
      </c>
      <c r="C811" s="319" t="s">
        <v>1226</v>
      </c>
    </row>
    <row r="812" spans="1:3" ht="15" x14ac:dyDescent="0.3">
      <c r="A812" s="319" t="s">
        <v>4674</v>
      </c>
      <c r="B812" s="318">
        <f>GROSSSEDrate.w2C-NETsedrate.w2C</f>
        <v>2.6670419161676661E-10</v>
      </c>
      <c r="C812" s="319" t="s">
        <v>1226</v>
      </c>
    </row>
    <row r="813" spans="1:3" ht="15" x14ac:dyDescent="0.3">
      <c r="A813" s="319" t="s">
        <v>4675</v>
      </c>
      <c r="B813" s="318">
        <f>GROSSSEDrate.w2R-NETsedrate.w2R</f>
        <v>2.666753943691715E-10</v>
      </c>
      <c r="C813" s="319" t="s">
        <v>1226</v>
      </c>
    </row>
    <row r="814" spans="1:3" ht="15" x14ac:dyDescent="0.3">
      <c r="A814" s="319" t="s">
        <v>4676</v>
      </c>
      <c r="B814" s="318">
        <f>GROSSSEDrate.w3A-NETsedrate.wA</f>
        <v>2.9404077203279906E-10</v>
      </c>
      <c r="C814" s="320" t="s">
        <v>1226</v>
      </c>
    </row>
    <row r="815" spans="1:3" ht="15" x14ac:dyDescent="0.3">
      <c r="A815" s="319" t="s">
        <v>4677</v>
      </c>
      <c r="B815" s="318">
        <f>GROSSSEDrate.w3M-NETsedrate.wM</f>
        <v>2.9401467358732688E-10</v>
      </c>
      <c r="C815" s="320" t="s">
        <v>1226</v>
      </c>
    </row>
    <row r="816" spans="1:3" ht="15" x14ac:dyDescent="0.3">
      <c r="A816" s="319" t="s">
        <v>4678</v>
      </c>
      <c r="B816" s="318">
        <f>GROSSSEDrate.w3T-NETsedrate.wT</f>
        <v>2.9404077203279906E-10</v>
      </c>
      <c r="C816" s="320" t="s">
        <v>1226</v>
      </c>
    </row>
    <row r="817" spans="1:3" ht="15" x14ac:dyDescent="0.3">
      <c r="A817" s="321" t="s">
        <v>816</v>
      </c>
      <c r="B817" s="318">
        <v>2000</v>
      </c>
      <c r="C817" s="317" t="s">
        <v>817</v>
      </c>
    </row>
    <row r="818" spans="1:3" ht="15" x14ac:dyDescent="0.3">
      <c r="A818" s="319" t="s">
        <v>819</v>
      </c>
      <c r="B818" s="321">
        <v>2500</v>
      </c>
      <c r="C818" s="317" t="s">
        <v>817</v>
      </c>
    </row>
    <row r="819" spans="1:3" ht="15" x14ac:dyDescent="0.3">
      <c r="A819" s="317" t="s">
        <v>4679</v>
      </c>
      <c r="B819" s="318">
        <f>(RAINrate.C*FRACrun.s1C/Ks1w.C+EROSION.s1C)*SYSTEMAREA.C*AREAFRAC.s1C*CORRrunoff.s1C</f>
        <v>220.9008686704876</v>
      </c>
      <c r="C819" s="317" t="s">
        <v>1089</v>
      </c>
    </row>
    <row r="820" spans="1:3" ht="15" x14ac:dyDescent="0.3">
      <c r="A820" s="317" t="s">
        <v>4680</v>
      </c>
      <c r="B820" s="318">
        <f>(RAINrate.R*FRACrun.s1R/Ks1w.R+EROSION.s1R)*SYSTEMAREA.R*AREAFRAC.s1R*CORRrunoff.s1R</f>
        <v>14.484689931842352</v>
      </c>
      <c r="C820" s="317" t="s">
        <v>1089</v>
      </c>
    </row>
    <row r="821" spans="1:3" ht="15" x14ac:dyDescent="0.3">
      <c r="A821" s="317" t="s">
        <v>4681</v>
      </c>
      <c r="B821" s="318">
        <f>(RAINrate.C*FRACrun.s2C/Ks2w.C+EROSION.s2C)*SYSTEMAREA.C*AREAFRAC.s2C*CORRrunoff.s2C</f>
        <v>893.52778280768723</v>
      </c>
      <c r="C821" s="317" t="s">
        <v>1089</v>
      </c>
    </row>
    <row r="822" spans="1:3" ht="15" x14ac:dyDescent="0.3">
      <c r="A822" s="317" t="s">
        <v>4682</v>
      </c>
      <c r="B822" s="318">
        <f>(RAINrate.R*FRACrun.s2R/Ks2w.R+EROSION.s2R)*SYSTEMAREA.R*AREAFRAC.s2R*CORRrunoff.s2R</f>
        <v>58.589506493801494</v>
      </c>
      <c r="C822" s="317" t="s">
        <v>1089</v>
      </c>
    </row>
    <row r="823" spans="1:3" ht="15" x14ac:dyDescent="0.3">
      <c r="A823" s="317" t="s">
        <v>4683</v>
      </c>
      <c r="B823" s="318">
        <f>(RAINrate.C*FRACrun.s3C/Ks3w.C+EROSION.s3C)*SYSTEMAREA.C*AREAFRAC.s3C*CORRrunoff.s3C</f>
        <v>81.81513654462502</v>
      </c>
      <c r="C823" s="317" t="s">
        <v>1089</v>
      </c>
    </row>
    <row r="824" spans="1:3" ht="15" x14ac:dyDescent="0.3">
      <c r="A824" s="317" t="s">
        <v>4684</v>
      </c>
      <c r="B824" s="318">
        <f>(RAINrate.R*FRACrun.s3R/Ks3w.R+EROSION.s3R)*SYSTEMAREA.R*AREAFRAC.s3R*CORRrunoff.s3R</f>
        <v>5.3646999747564257</v>
      </c>
      <c r="C824" s="317" t="s">
        <v>1089</v>
      </c>
    </row>
    <row r="825" spans="1:3" ht="15" x14ac:dyDescent="0.3">
      <c r="A825" s="317" t="s">
        <v>4685</v>
      </c>
      <c r="B825" s="318">
        <f>(RAINrate.A*FRACrun.sA/Kslw.A+EROSION.sA)*SYSTEMAREA.A*AREAFRAC.sA*CORRrunoff.sA</f>
        <v>1438.2183814285722</v>
      </c>
      <c r="C825" s="321" t="s">
        <v>1089</v>
      </c>
    </row>
    <row r="826" spans="1:3" ht="15" x14ac:dyDescent="0.3">
      <c r="A826" s="317" t="s">
        <v>4686</v>
      </c>
      <c r="B826" s="318">
        <f>(RAINrate.M*FRACrun.sM/Kslw.M+EROSION.sM)*SYSTEMAREA.M*AREAFRAC.sM*CORRrunoff.sM</f>
        <v>9103.2529944399139</v>
      </c>
      <c r="C826" s="321" t="s">
        <v>1089</v>
      </c>
    </row>
    <row r="827" spans="1:3" ht="15" x14ac:dyDescent="0.3">
      <c r="A827" s="317" t="s">
        <v>4687</v>
      </c>
      <c r="B827" s="318">
        <f>(RAINrate.T*FRACrun.sT/Kslw.T+EROSION.sT)*SYSTEMAREA.T*AREAFRAC.sT*CORRrunoff.sT</f>
        <v>16632.952710945108</v>
      </c>
      <c r="C827" s="321" t="s">
        <v>1089</v>
      </c>
    </row>
    <row r="828" spans="1:3" ht="15" x14ac:dyDescent="0.3">
      <c r="A828" s="317" t="s">
        <v>4688</v>
      </c>
      <c r="B828" s="318">
        <f>(GROSSSEDrate.w1C*FRACs.sdC*RHOsolid/SUSP.w1C)*((Kp.susp1C*SUSP.w1C/1000)*FRw.w1C)*(SYSTEMAREA.C*AREAFRAC.w1C)</f>
        <v>4221.6893349785678</v>
      </c>
      <c r="C828" s="317" t="s">
        <v>1089</v>
      </c>
    </row>
    <row r="829" spans="1:3" ht="15" x14ac:dyDescent="0.3">
      <c r="A829" s="317" t="s">
        <v>4689</v>
      </c>
      <c r="B829" s="318" t="e">
        <f>(GROSSSEDrate.w1R*FRACs.sdR*RHOsolid/SUSP.w1R)*((Kp.susp1R*SUSP.w1R/1000)*FRw.w1R)*(SYSTEMAREA.R*AREAFRAC.w1R)</f>
        <v>#NAME?</v>
      </c>
      <c r="C829" s="317" t="s">
        <v>1089</v>
      </c>
    </row>
    <row r="830" spans="1:3" ht="15" x14ac:dyDescent="0.3">
      <c r="A830" s="317" t="s">
        <v>4690</v>
      </c>
      <c r="B830" s="318">
        <f>(GROSSSEDrate.w2C*FRACs.sdC*RHOsolid/SUSP.w2C)*((Kp.susp2C*SUSP.w2C/1000)*FRw.w2C)*(SYSTEMAREA.C*AREAFRAC.w2C)</f>
        <v>54567.183937146103</v>
      </c>
      <c r="C830" s="317" t="s">
        <v>1089</v>
      </c>
    </row>
    <row r="831" spans="1:3" ht="15" x14ac:dyDescent="0.3">
      <c r="A831" s="317" t="s">
        <v>4691</v>
      </c>
      <c r="B831" s="318" t="e">
        <f>(GROSSSEDrate.w2R*FRACs.sdR*RHOsolid/SUSP.w2R)*((Kp.susp2R*SUSP.w2R/1000)*FRw.w2R)*(SYSTEMAREA.R*AREAFRAC.w2R)</f>
        <v>#NAME?</v>
      </c>
      <c r="C831" s="317" t="s">
        <v>1089</v>
      </c>
    </row>
    <row r="832" spans="1:3" ht="15" x14ac:dyDescent="0.3">
      <c r="A832" s="317" t="s">
        <v>4692</v>
      </c>
      <c r="B832" s="318">
        <f>(GROSSSEDrate.w3A*FRACs.sdA*RHOsolid/SUSP.w3A)*((Kp.susp3A*SUSP.w3A/1000)*FRw.w3A)*(SYSTEMAREA.A*AREAFRAC.wA)</f>
        <v>374713.05091471871</v>
      </c>
      <c r="C832" s="321" t="s">
        <v>1089</v>
      </c>
    </row>
    <row r="833" spans="1:3" ht="15" x14ac:dyDescent="0.3">
      <c r="A833" s="317" t="s">
        <v>4693</v>
      </c>
      <c r="B833" s="318">
        <f>(GROSSSEDrate.w3M*FRACs.sdM*RHOsolid/SUSP.w3M)*((Kp.susp3M*SUSP.w3M/1000)*FRw.w3M)*(SYSTEMAREA.M*AREAFRAC.wM)</f>
        <v>569939.87295793742</v>
      </c>
      <c r="C833" s="321" t="s">
        <v>1089</v>
      </c>
    </row>
    <row r="834" spans="1:3" ht="15" x14ac:dyDescent="0.3">
      <c r="A834" s="317" t="s">
        <v>4694</v>
      </c>
      <c r="B834" s="318">
        <f>(GROSSSEDrate.w3T*FRACs.sdT*RHOsolid/SUSP.w3T)*((Kp.susp3T*SUSP.w3T/1000)*FRw.w3T)*(SYSTEMAREA.T*AREAFRAC.wT)</f>
        <v>1311495.6782015155</v>
      </c>
      <c r="C834" s="321" t="s">
        <v>1089</v>
      </c>
    </row>
    <row r="835" spans="1:3" ht="15" x14ac:dyDescent="0.3">
      <c r="A835" s="319" t="s">
        <v>3114</v>
      </c>
      <c r="B835" s="318">
        <f>2.5/(24*3600)</f>
        <v>2.8935185185185186E-5</v>
      </c>
      <c r="C835" s="320" t="s">
        <v>1226</v>
      </c>
    </row>
    <row r="836" spans="1:3" ht="15" x14ac:dyDescent="0.3">
      <c r="A836" s="319" t="s">
        <v>2187</v>
      </c>
      <c r="B836" s="318">
        <f>2.5/(24*3600)</f>
        <v>2.8935185185185186E-5</v>
      </c>
      <c r="C836" s="319" t="s">
        <v>1226</v>
      </c>
    </row>
    <row r="837" spans="1:3" ht="15" x14ac:dyDescent="0.3">
      <c r="A837" s="319" t="s">
        <v>2746</v>
      </c>
      <c r="B837" s="318">
        <f>2.5/(24*3600)</f>
        <v>2.8935185185185186E-5</v>
      </c>
      <c r="C837" s="320" t="s">
        <v>1226</v>
      </c>
    </row>
    <row r="838" spans="1:3" ht="15" x14ac:dyDescent="0.3">
      <c r="A838" s="319" t="s">
        <v>1297</v>
      </c>
      <c r="B838" s="318">
        <f>2.5/(24*3600)</f>
        <v>2.8935185185185186E-5</v>
      </c>
      <c r="C838" s="319" t="s">
        <v>1226</v>
      </c>
    </row>
    <row r="839" spans="1:3" ht="15" x14ac:dyDescent="0.3">
      <c r="A839" s="319" t="s">
        <v>3426</v>
      </c>
      <c r="B839" s="321">
        <f>2.5/(24*3600)</f>
        <v>2.8935185185185186E-5</v>
      </c>
      <c r="C839" s="320" t="s">
        <v>1226</v>
      </c>
    </row>
    <row r="840" spans="1:3" ht="15" x14ac:dyDescent="0.3">
      <c r="A840" s="317" t="s">
        <v>603</v>
      </c>
      <c r="B840" s="321">
        <f>10^(LOG(Kow)*-1.214+0.85)*(Molweight*1000000)</f>
        <v>46.804251494619756</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5" x14ac:dyDescent="0.3">
      <c r="A850" s="321" t="s">
        <v>4704</v>
      </c>
      <c r="B850" s="318">
        <v>1.4999999999999999E-4</v>
      </c>
      <c r="C850" s="317" t="s">
        <v>4705</v>
      </c>
    </row>
    <row r="851" spans="1:3" x14ac:dyDescent="0.3">
      <c r="A851" s="321" t="s">
        <v>4706</v>
      </c>
      <c r="B851" s="318">
        <v>1.4999999999999999E-4</v>
      </c>
      <c r="C851" s="317" t="s">
        <v>4707</v>
      </c>
    </row>
    <row r="852" spans="1:3" ht="15" x14ac:dyDescent="0.3">
      <c r="A852" s="321" t="s">
        <v>4708</v>
      </c>
      <c r="B852" s="318">
        <v>1.4999999999999999E-4</v>
      </c>
      <c r="C852" s="317" t="s">
        <v>4705</v>
      </c>
    </row>
    <row r="853" spans="1:3" ht="15" x14ac:dyDescent="0.3">
      <c r="A853" s="321" t="s">
        <v>4709</v>
      </c>
      <c r="B853" s="318">
        <v>1.4999999999999999E-4</v>
      </c>
      <c r="C853" s="317" t="s">
        <v>4705</v>
      </c>
    </row>
    <row r="854" spans="1:3" ht="1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5" x14ac:dyDescent="0.3">
      <c r="A864" s="319" t="s">
        <v>785</v>
      </c>
      <c r="B864" s="318">
        <v>0.5</v>
      </c>
      <c r="C864" s="317" t="s">
        <v>604</v>
      </c>
    </row>
    <row r="865" spans="1:3" ht="15" x14ac:dyDescent="0.3">
      <c r="A865" s="319" t="s">
        <v>746</v>
      </c>
      <c r="B865" s="318">
        <v>0.5</v>
      </c>
      <c r="C865" s="317" t="s">
        <v>604</v>
      </c>
    </row>
    <row r="866" spans="1:3" x14ac:dyDescent="0.3">
      <c r="A866" s="319" t="s">
        <v>786</v>
      </c>
      <c r="B866" s="318">
        <v>15</v>
      </c>
      <c r="C866" s="317" t="s">
        <v>741</v>
      </c>
    </row>
    <row r="867" spans="1:3" ht="15" x14ac:dyDescent="0.3">
      <c r="A867" s="319" t="s">
        <v>749</v>
      </c>
      <c r="B867" s="318">
        <v>15</v>
      </c>
      <c r="C867" s="317" t="s">
        <v>604</v>
      </c>
    </row>
    <row r="868" spans="1:3" ht="15" x14ac:dyDescent="0.3">
      <c r="A868" s="319" t="s">
        <v>3066</v>
      </c>
      <c r="B868" s="318">
        <v>5</v>
      </c>
      <c r="C868" s="317" t="s">
        <v>604</v>
      </c>
    </row>
    <row r="869" spans="1:3" x14ac:dyDescent="0.3">
      <c r="A869" s="319" t="s">
        <v>787</v>
      </c>
      <c r="B869" s="318">
        <v>5</v>
      </c>
      <c r="C869" s="317" t="s">
        <v>741</v>
      </c>
    </row>
    <row r="870" spans="1:3" ht="15" x14ac:dyDescent="0.3">
      <c r="A870" s="319" t="s">
        <v>2671</v>
      </c>
      <c r="B870" s="318">
        <v>5</v>
      </c>
      <c r="C870" s="317" t="s">
        <v>604</v>
      </c>
    </row>
    <row r="871" spans="1:3" ht="15" x14ac:dyDescent="0.3">
      <c r="A871" s="319" t="s">
        <v>751</v>
      </c>
      <c r="B871" s="318">
        <v>5</v>
      </c>
      <c r="C871" s="317" t="s">
        <v>604</v>
      </c>
    </row>
    <row r="872" spans="1:3" ht="15" x14ac:dyDescent="0.3">
      <c r="A872" s="319" t="s">
        <v>3381</v>
      </c>
      <c r="B872" s="323">
        <v>5</v>
      </c>
      <c r="C872" s="317" t="s">
        <v>604</v>
      </c>
    </row>
    <row r="873" spans="1:3" ht="15" x14ac:dyDescent="0.3">
      <c r="A873" s="319" t="s">
        <v>3067</v>
      </c>
      <c r="B873" s="318">
        <v>5</v>
      </c>
      <c r="C873" s="317" t="s">
        <v>604</v>
      </c>
    </row>
    <row r="874" spans="1:3" ht="15" x14ac:dyDescent="0.3">
      <c r="A874" s="319" t="s">
        <v>2673</v>
      </c>
      <c r="B874" s="318">
        <v>5</v>
      </c>
      <c r="C874" s="317" t="s">
        <v>604</v>
      </c>
    </row>
    <row r="875" spans="1:3" ht="15" x14ac:dyDescent="0.3">
      <c r="A875" s="319" t="s">
        <v>3382</v>
      </c>
      <c r="B875" s="323">
        <v>5</v>
      </c>
      <c r="C875" s="317" t="s">
        <v>604</v>
      </c>
    </row>
    <row r="876" spans="1:3" ht="15" x14ac:dyDescent="0.3">
      <c r="A876" s="317" t="s">
        <v>3017</v>
      </c>
      <c r="B876" s="318">
        <v>42500000</v>
      </c>
      <c r="C876" s="321" t="s">
        <v>697</v>
      </c>
    </row>
    <row r="877" spans="1:3" ht="15" x14ac:dyDescent="0.3">
      <c r="A877" s="317" t="s">
        <v>1986</v>
      </c>
      <c r="B877" s="318">
        <f>(AREAland.C+AREAsea.C-SYSTEMAREA.R)/1000000</f>
        <v>6969680</v>
      </c>
      <c r="C877" s="321" t="s">
        <v>697</v>
      </c>
    </row>
    <row r="878" spans="1:3" ht="15" x14ac:dyDescent="0.3">
      <c r="A878" s="317" t="s">
        <v>2590</v>
      </c>
      <c r="B878" s="318">
        <f>85000000-((SYSTEMAREA.C+SYSTEMAREA.R)/1000000)</f>
        <v>77571180</v>
      </c>
      <c r="C878" s="321" t="s">
        <v>697</v>
      </c>
    </row>
    <row r="879" spans="1:3" ht="15" x14ac:dyDescent="0.3">
      <c r="A879" s="317" t="s">
        <v>1005</v>
      </c>
      <c r="B879" s="318">
        <f>(AREAland.R+AREAsea.R)/1000000</f>
        <v>229570</v>
      </c>
      <c r="C879" s="317" t="s">
        <v>697</v>
      </c>
    </row>
    <row r="880" spans="1:3" ht="1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5" x14ac:dyDescent="0.3">
      <c r="A894" s="321" t="s">
        <v>3057</v>
      </c>
      <c r="B894" s="318">
        <v>-10</v>
      </c>
      <c r="C894" s="321" t="s">
        <v>610</v>
      </c>
    </row>
    <row r="895" spans="1:3" ht="15" x14ac:dyDescent="0.3">
      <c r="A895" s="321" t="s">
        <v>769</v>
      </c>
      <c r="B895" s="321">
        <v>12</v>
      </c>
      <c r="C895" s="321" t="s">
        <v>610</v>
      </c>
    </row>
    <row r="896" spans="1:3" ht="15" x14ac:dyDescent="0.3">
      <c r="A896" s="317" t="s">
        <v>2653</v>
      </c>
      <c r="B896" s="318">
        <v>12</v>
      </c>
      <c r="C896" s="317" t="s">
        <v>610</v>
      </c>
    </row>
    <row r="897" spans="1:3" ht="15" x14ac:dyDescent="0.3">
      <c r="A897" s="321" t="s">
        <v>712</v>
      </c>
      <c r="B897" s="321">
        <v>12</v>
      </c>
      <c r="C897" s="321" t="s">
        <v>610</v>
      </c>
    </row>
    <row r="898" spans="1:3" ht="1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41.4"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5" x14ac:dyDescent="0.3">
      <c r="A915" s="317" t="s">
        <v>4721</v>
      </c>
      <c r="B915" s="318">
        <f>(MTCas.air.aC*MTCas.soil.sC)/(MTCas.air.aC+MTCas.soil.sC/((Kaw.C*FRorig.s1w)/Ks1w.C))*SYSTEMAREA.C*AREAFRAC.s1C*CORRvolat.s1C</f>
        <v>4.6932119969157844E-16</v>
      </c>
      <c r="C915" s="317" t="s">
        <v>1089</v>
      </c>
    </row>
    <row r="916" spans="1:3" ht="15" x14ac:dyDescent="0.3">
      <c r="A916" s="317" t="s">
        <v>4722</v>
      </c>
      <c r="B916" s="318">
        <v>3.1223453934029976E-20</v>
      </c>
      <c r="C916" s="317" t="s">
        <v>1089</v>
      </c>
    </row>
    <row r="917" spans="1:3" ht="15" x14ac:dyDescent="0.3">
      <c r="A917" s="317" t="s">
        <v>4723</v>
      </c>
      <c r="B917" s="318">
        <f>(MTCas.air.aC*MTCas.soil.sC)/(MTCas.air.aC+MTCas.soil.sC/((Kaw.C*FRorig.s2w)/Ks2w.C))*SYSTEMAREA.C*AREAFRAC.s2C*CORRvolat.s2C</f>
        <v>1.8983697687970449E-15</v>
      </c>
      <c r="C917" s="317" t="s">
        <v>1089</v>
      </c>
    </row>
    <row r="918" spans="1:3" ht="15" x14ac:dyDescent="0.3">
      <c r="A918" s="317" t="s">
        <v>4724</v>
      </c>
      <c r="B918" s="318">
        <v>1.2629657698127048E-19</v>
      </c>
      <c r="C918" s="317" t="s">
        <v>1089</v>
      </c>
    </row>
    <row r="919" spans="1:3" ht="15" x14ac:dyDescent="0.3">
      <c r="A919" s="317" t="s">
        <v>4725</v>
      </c>
      <c r="B919" s="318">
        <f>(MTCas.air.aC*MTCas.soil.sC)/(MTCas.air.aC+MTCas.soil.sC/((Kaw.C*FRorig.s3w)/Ks3w.C))*SYSTEMAREA.C*AREAFRAC.s3C*CORRvolat.s3C</f>
        <v>1.7382266655243642E-16</v>
      </c>
      <c r="C919" s="317" t="s">
        <v>1089</v>
      </c>
    </row>
    <row r="920" spans="1:3" ht="15" x14ac:dyDescent="0.3">
      <c r="A920" s="317" t="s">
        <v>4726</v>
      </c>
      <c r="B920" s="318">
        <v>1.1564242197788877E-20</v>
      </c>
      <c r="C920" s="317" t="s">
        <v>1089</v>
      </c>
    </row>
    <row r="921" spans="1:3" ht="15" x14ac:dyDescent="0.3">
      <c r="A921" s="317" t="s">
        <v>4727</v>
      </c>
      <c r="B921" s="318">
        <f>(MTCas.air.aA*MTCas.soil.sA/(MTCas.air.aA+MTCas.soil.sA/((Kaw.A*FRorig.s1w)/Ksw.A)*(SYSTEMAREA.A*AREAFRAC.sA*CORRvolat.sA)))</f>
        <v>4.0455402443703006E-47</v>
      </c>
      <c r="C921" s="321" t="s">
        <v>1089</v>
      </c>
    </row>
    <row r="922" spans="1:3" ht="15" x14ac:dyDescent="0.3">
      <c r="A922" s="317" t="s">
        <v>4728</v>
      </c>
      <c r="B922" s="318">
        <f>(MTCas.air.aM*MTCas.soil.sM/(MTCas.air.aM+MTCas.soil.sM/((Kaw.M*FRorig.s1w)/Ksw.M)*(SYSTEMAREA.M*AREAFRAC.sM*CORRvolat.sM)))</f>
        <v>7.9617831031511978E-42</v>
      </c>
      <c r="C922" s="321" t="s">
        <v>1089</v>
      </c>
    </row>
    <row r="923" spans="1:3" ht="15" x14ac:dyDescent="0.3">
      <c r="A923" s="317" t="s">
        <v>4729</v>
      </c>
      <c r="B923" s="318">
        <f>(MTCas.air.aT*MTCas.soil.sT/(MTCas.air.aT+MTCas.soil.sT/((Kaw.T*FRorig.s1w)/Ksw.T)*(SYSTEMAREA.T*AREAFRAC.sT*CORRvolat.sT)))</f>
        <v>7.1377874911888183E-39</v>
      </c>
      <c r="C923" s="321" t="s">
        <v>1089</v>
      </c>
    </row>
    <row r="924" spans="1:3" ht="15" x14ac:dyDescent="0.3">
      <c r="A924" s="317" t="s">
        <v>4730</v>
      </c>
      <c r="B924" s="318">
        <f>(MTCaw.air.aC*MTCaw.water.wC/(FRorig.w1*MTCaw.air.aC*Kaw.C+MTCaw.water.wC))*Kaw.C*(FRw.w0C*FRorig.w1)*(SYSTEMAREA.C*AREAFRAC.w0C)</f>
        <v>5.0099906313523816E-16</v>
      </c>
      <c r="C924" s="317" t="s">
        <v>1089</v>
      </c>
    </row>
    <row r="925" spans="1:3" ht="15" x14ac:dyDescent="0.3">
      <c r="A925" s="317" t="s">
        <v>4731</v>
      </c>
      <c r="B925" s="318" t="e">
        <v>#NAME?</v>
      </c>
      <c r="C925" s="317" t="s">
        <v>1089</v>
      </c>
    </row>
    <row r="926" spans="1:3" ht="15" x14ac:dyDescent="0.3">
      <c r="A926" s="317" t="s">
        <v>4732</v>
      </c>
      <c r="B926" s="318">
        <f>(MTCaw.air.aC*MTCaw.water.wC/(FRorig.w1*MTCaw.air.aC*Kaw.C+MTCaw.water.wC))*Kaw.C*(FRw.w1C*FRorig.w1)*(SYSTEMAREA.C*AREAFRAC.w1C)</f>
        <v>5.5030124802391201E-15</v>
      </c>
      <c r="C926" s="317" t="s">
        <v>1089</v>
      </c>
    </row>
    <row r="927" spans="1:3" ht="15" x14ac:dyDescent="0.3">
      <c r="A927" s="317" t="s">
        <v>4733</v>
      </c>
      <c r="B927" s="318" t="e">
        <v>#NAME?</v>
      </c>
      <c r="C927" s="317" t="s">
        <v>1089</v>
      </c>
    </row>
    <row r="928" spans="1:3" ht="15" x14ac:dyDescent="0.3">
      <c r="A928" s="317" t="s">
        <v>4734</v>
      </c>
      <c r="B928" s="318">
        <f>(MTCaw.air.aA*MTCaw.water.wA/(FRorig.w1*MTCaw.air.aA*Kaw.A+MTCaw.water.wA))*Kaw.A*(FRw.w2A*FRorig.w1)*(SYSTEMAREA.A*AREAFRAC.wA)</f>
        <v>3.2634653299916221E-18</v>
      </c>
      <c r="C928" s="321" t="s">
        <v>1089</v>
      </c>
    </row>
    <row r="929" spans="1:3" ht="15" x14ac:dyDescent="0.3">
      <c r="A929" s="317" t="s">
        <v>4735</v>
      </c>
      <c r="B929" s="318">
        <f>(MTCaw.air.aC*MTCaw.water.wC/(FRorig.w2*MTCaw.air.aC*Kaw.C+MTCaw.water.wC))*Kaw.C*(FRw.w2C*FRorig.w2)*(SYSTEMAREA.C*AREAFRAC.w2C)</f>
        <v>2.1338654059380928E-13</v>
      </c>
      <c r="C929" s="317" t="s">
        <v>1089</v>
      </c>
    </row>
    <row r="930" spans="1:3" ht="15" x14ac:dyDescent="0.3">
      <c r="A930" s="317" t="s">
        <v>4736</v>
      </c>
      <c r="B930" s="318">
        <f>(MTCaw.air.aM*MTCaw.water.wM/(FRorig.w1*MTCaw.air.aM*Kaw.M+MTCaw.water.wM))*Kaw.M*(FRw.w2M*FRorig.w1)*(SYSTEMAREA.M*AREAFRAC.wM)</f>
        <v>2.2287662485397098E-12</v>
      </c>
      <c r="C930" s="321" t="s">
        <v>1089</v>
      </c>
    </row>
    <row r="931" spans="1:3" ht="15" x14ac:dyDescent="0.3">
      <c r="A931" s="317" t="s">
        <v>4737</v>
      </c>
      <c r="B931" s="318" t="e">
        <v>#NAME?</v>
      </c>
      <c r="C931" s="317" t="s">
        <v>1089</v>
      </c>
    </row>
    <row r="932" spans="1:3" ht="15" x14ac:dyDescent="0.3">
      <c r="A932" s="317" t="s">
        <v>4738</v>
      </c>
      <c r="B932" s="318">
        <f>(MTCaw.air.aT*MTCaw.water.wT/(FRorig.w1*MTCaw.air.aT*Kaw.T+MTCaw.water.wT))*Kaw.T*(FRw.w2T*FRorig.w1)*(SYSTEMAREA.T*AREAFRAC.wT)</f>
        <v>4.5343668521582289E-9</v>
      </c>
      <c r="C932" s="321" t="s">
        <v>1089</v>
      </c>
    </row>
    <row r="933" spans="1:3" ht="15" x14ac:dyDescent="0.3">
      <c r="A933" s="317" t="s">
        <v>3008</v>
      </c>
      <c r="B933" s="318">
        <f>SYSTEMAREA.A*HEIGHT.aA</f>
        <v>4.25E+16</v>
      </c>
      <c r="C933" s="321" t="s">
        <v>981</v>
      </c>
    </row>
    <row r="934" spans="1:3" ht="15" x14ac:dyDescent="0.3">
      <c r="A934" s="317" t="s">
        <v>1972</v>
      </c>
      <c r="B934" s="318">
        <f>SYSTEMAREA.C*HEIGHT.aC</f>
        <v>7199250000000000</v>
      </c>
      <c r="C934" s="321" t="s">
        <v>981</v>
      </c>
    </row>
    <row r="935" spans="1:3" ht="15" x14ac:dyDescent="0.3">
      <c r="A935" s="317" t="s">
        <v>2579</v>
      </c>
      <c r="B935" s="318">
        <f>SYSTEMAREA.M*HEIGHT.aM</f>
        <v>7.757118E+16</v>
      </c>
      <c r="C935" s="321" t="s">
        <v>981</v>
      </c>
    </row>
    <row r="936" spans="1:3" ht="15" x14ac:dyDescent="0.3">
      <c r="A936" s="317" t="s">
        <v>980</v>
      </c>
      <c r="B936" s="318">
        <f>SYSTEMAREA.R*HEIGHT.aR</f>
        <v>229570000000000</v>
      </c>
      <c r="C936" s="317" t="s">
        <v>981</v>
      </c>
    </row>
    <row r="937" spans="1:3" ht="15" x14ac:dyDescent="0.3">
      <c r="A937" s="317" t="s">
        <v>3330</v>
      </c>
      <c r="B937" s="318">
        <f>SYSTEMAREA.T*HEIGHT.aT</f>
        <v>1.275E+17</v>
      </c>
      <c r="C937" s="317" t="s">
        <v>981</v>
      </c>
    </row>
    <row r="938" spans="1:3" ht="15" x14ac:dyDescent="0.3">
      <c r="A938" s="317" t="s">
        <v>1982</v>
      </c>
      <c r="B938" s="318">
        <f>SYSTEMAREA.C*AREAFRAC.s1C*DEPTH.s1C</f>
        <v>47058840000.000015</v>
      </c>
      <c r="C938" s="321" t="s">
        <v>981</v>
      </c>
    </row>
    <row r="939" spans="1:3" ht="15" x14ac:dyDescent="0.3">
      <c r="A939" s="317" t="s">
        <v>999</v>
      </c>
      <c r="B939" s="318">
        <f>SYSTEMAREA.R*AREAFRAC.s1R*DEPTH.s1R</f>
        <v>3085695000.0000005</v>
      </c>
      <c r="C939" s="317" t="s">
        <v>981</v>
      </c>
    </row>
    <row r="940" spans="1:3" ht="15" x14ac:dyDescent="0.3">
      <c r="A940" s="317" t="s">
        <v>1983</v>
      </c>
      <c r="B940" s="318">
        <f>SYSTEMAREA.C*AREAFRAC.s2C*DEPTH.s2C</f>
        <v>418300800000.00006</v>
      </c>
      <c r="C940" s="321" t="s">
        <v>981</v>
      </c>
    </row>
    <row r="941" spans="1:3" ht="15" x14ac:dyDescent="0.3">
      <c r="A941" s="317" t="s">
        <v>1001</v>
      </c>
      <c r="B941" s="318">
        <f>SYSTEMAREA.R*AREAFRAC.s2R*DEPTH.s2R</f>
        <v>27428400000</v>
      </c>
      <c r="C941" s="317" t="s">
        <v>981</v>
      </c>
    </row>
    <row r="942" spans="1:3" ht="15" x14ac:dyDescent="0.3">
      <c r="A942" s="317" t="s">
        <v>1984</v>
      </c>
      <c r="B942" s="318">
        <f>SYSTEMAREA.C*AREAFRAC.s3C*DEPTH.s3C</f>
        <v>17429200000</v>
      </c>
      <c r="C942" s="321" t="s">
        <v>981</v>
      </c>
    </row>
    <row r="943" spans="1:3" ht="15" x14ac:dyDescent="0.3">
      <c r="A943" s="317" t="s">
        <v>1003</v>
      </c>
      <c r="B943" s="318">
        <f>SYSTEMAREA.R*AREAFRAC.s3R*DEPTH.s3R</f>
        <v>1142850000</v>
      </c>
      <c r="C943" s="317" t="s">
        <v>981</v>
      </c>
    </row>
    <row r="944" spans="1:3" ht="15" x14ac:dyDescent="0.3">
      <c r="A944" s="317" t="s">
        <v>3015</v>
      </c>
      <c r="B944" s="318">
        <f>SYSTEMAREA.A*DEPTH.sA*AREAFRAC.sA</f>
        <v>850000000000</v>
      </c>
      <c r="C944" s="321" t="s">
        <v>981</v>
      </c>
    </row>
    <row r="945" spans="1:3" ht="15" x14ac:dyDescent="0.3">
      <c r="A945" s="317" t="s">
        <v>1980</v>
      </c>
      <c r="B945" s="318">
        <f>SYSTEMAREA.C*AREAFRAC.w1C*DEPTH.sd1C</f>
        <v>2875818000</v>
      </c>
      <c r="C945" s="321" t="s">
        <v>981</v>
      </c>
    </row>
    <row r="946" spans="1:3" ht="15" x14ac:dyDescent="0.3">
      <c r="A946" s="317" t="s">
        <v>995</v>
      </c>
      <c r="B946" s="318">
        <f>SYSTEMAREA.R*AREAFRAC.w1R*DEPTH.sd1R</f>
        <v>188570250</v>
      </c>
      <c r="C946" s="317" t="s">
        <v>981</v>
      </c>
    </row>
    <row r="947" spans="1:3" ht="15" x14ac:dyDescent="0.3">
      <c r="A947" s="317" t="s">
        <v>1981</v>
      </c>
      <c r="B947" s="318">
        <f>SYSTEMAREA.C*AREAFRAC.w2C*DEPTH.sd2C</f>
        <v>111402300000</v>
      </c>
      <c r="C947" s="321" t="s">
        <v>981</v>
      </c>
    </row>
    <row r="948" spans="1:3" ht="15" x14ac:dyDescent="0.3">
      <c r="A948" s="317" t="s">
        <v>997</v>
      </c>
      <c r="B948" s="318">
        <f>SYSTEMAREA.R*AREAFRAC.w2R*DEPTH.sd2R</f>
        <v>30000000.00000003</v>
      </c>
      <c r="C948" s="317" t="s">
        <v>981</v>
      </c>
    </row>
    <row r="949" spans="1:3" ht="15" x14ac:dyDescent="0.3">
      <c r="A949" s="317" t="s">
        <v>3014</v>
      </c>
      <c r="B949" s="318">
        <f>SYSTEMAREA.A*DEPTH.sdA*AREAFRAC.wA</f>
        <v>765000000000</v>
      </c>
      <c r="C949" s="321" t="s">
        <v>981</v>
      </c>
    </row>
    <row r="950" spans="1:3" ht="15" x14ac:dyDescent="0.3">
      <c r="A950" s="317" t="s">
        <v>2586</v>
      </c>
      <c r="B950" s="318">
        <f>SYSTEMAREA.M*DEPTH.sdM*AREAFRAC.wM</f>
        <v>1163567700000</v>
      </c>
      <c r="C950" s="321" t="s">
        <v>981</v>
      </c>
    </row>
    <row r="951" spans="1:3" ht="15" x14ac:dyDescent="0.3">
      <c r="A951" s="317" t="s">
        <v>3334</v>
      </c>
      <c r="B951" s="318">
        <f>SYSTEMAREA.T*DEPTH.sdT*AREAFRAC.wT</f>
        <v>2677500000000</v>
      </c>
      <c r="C951" s="317" t="s">
        <v>981</v>
      </c>
    </row>
    <row r="952" spans="1:3" ht="15" x14ac:dyDescent="0.3">
      <c r="A952" s="317" t="s">
        <v>2588</v>
      </c>
      <c r="B952" s="318">
        <f>SYSTEMAREA.M*DEPTH.sM*AREAFRAC.sM</f>
        <v>1939279500000</v>
      </c>
      <c r="C952" s="321" t="s">
        <v>981</v>
      </c>
    </row>
    <row r="953" spans="1:3" ht="15" x14ac:dyDescent="0.3">
      <c r="A953" s="317" t="s">
        <v>3335</v>
      </c>
      <c r="B953" s="318">
        <f>SYSTEMAREA.T*DEPTH.sT*AREAFRAC.sT</f>
        <v>1912500000000.0002</v>
      </c>
      <c r="C953" s="317" t="s">
        <v>981</v>
      </c>
    </row>
    <row r="954" spans="1:3" ht="15" x14ac:dyDescent="0.3">
      <c r="A954" s="317" t="s">
        <v>1975</v>
      </c>
      <c r="B954" s="318">
        <f>SYSTEMAREA.C*AREAFRAC.w0C*DEPTH.w0C</f>
        <v>871460000000</v>
      </c>
      <c r="C954" s="317" t="s">
        <v>981</v>
      </c>
    </row>
    <row r="955" spans="1:3" ht="15" x14ac:dyDescent="0.3">
      <c r="A955" s="317" t="s">
        <v>987</v>
      </c>
      <c r="B955" s="318">
        <f>SYSTEMAREA.R*AREAFRAC.w0R*DEPTH.w0R</f>
        <v>57142500000</v>
      </c>
      <c r="C955" s="317" t="s">
        <v>981</v>
      </c>
    </row>
    <row r="956" spans="1:3" ht="15" x14ac:dyDescent="0.3">
      <c r="A956" s="317" t="s">
        <v>1976</v>
      </c>
      <c r="B956" s="318">
        <f>SYSTEMAREA.C*AREAFRAC.w1C*DEPTH.w1C</f>
        <v>287581800000</v>
      </c>
      <c r="C956" s="321" t="s">
        <v>981</v>
      </c>
    </row>
    <row r="957" spans="1:3" ht="15" x14ac:dyDescent="0.3">
      <c r="A957" s="317" t="s">
        <v>989</v>
      </c>
      <c r="B957" s="318">
        <f>SYSTEMAREA.R*AREAFRAC.w1R*DEPTH.w1R</f>
        <v>18857025000</v>
      </c>
      <c r="C957" s="317" t="s">
        <v>981</v>
      </c>
    </row>
    <row r="958" spans="1:3" ht="15" x14ac:dyDescent="0.3">
      <c r="A958" s="317" t="s">
        <v>3011</v>
      </c>
      <c r="B958" s="318">
        <f>SYSTEMAREA.A*DEPTH.w2A*AREAFRAC.wA</f>
        <v>2550000000000000</v>
      </c>
      <c r="C958" s="321" t="s">
        <v>981</v>
      </c>
    </row>
    <row r="959" spans="1:3" ht="15" x14ac:dyDescent="0.3">
      <c r="A959" s="317" t="s">
        <v>1977</v>
      </c>
      <c r="B959" s="318">
        <f>SYSTEMAREA.C*AREAFRAC.w2C*DEPTH.w2C</f>
        <v>742682000000000</v>
      </c>
      <c r="C959" s="321" t="s">
        <v>981</v>
      </c>
    </row>
    <row r="960" spans="1:3" ht="15" x14ac:dyDescent="0.3">
      <c r="A960" s="317" t="s">
        <v>2582</v>
      </c>
      <c r="B960" s="318">
        <f>SYSTEMAREA.M*DEPTH.w2M*AREAFRAC.wM</f>
        <v>3878559000000000</v>
      </c>
      <c r="C960" s="321" t="s">
        <v>981</v>
      </c>
    </row>
    <row r="961" spans="1:3" ht="15" x14ac:dyDescent="0.3">
      <c r="A961" s="317" t="s">
        <v>991</v>
      </c>
      <c r="B961" s="318">
        <f>SYSTEMAREA.R*AREAFRAC.w2R*DEPTH.w2R</f>
        <v>10000000000.000011</v>
      </c>
      <c r="C961" s="317" t="s">
        <v>981</v>
      </c>
    </row>
    <row r="962" spans="1:3" ht="15" x14ac:dyDescent="0.3">
      <c r="A962" s="317" t="s">
        <v>3332</v>
      </c>
      <c r="B962" s="318">
        <f>SYSTEMAREA.T*DEPTH.w2T*AREAFRAC.wT</f>
        <v>8924999999999999</v>
      </c>
      <c r="C962" s="321" t="s">
        <v>981</v>
      </c>
    </row>
    <row r="963" spans="1:3" ht="15" x14ac:dyDescent="0.3">
      <c r="A963" s="317" t="s">
        <v>3013</v>
      </c>
      <c r="B963" s="318">
        <f>SYSTEMAREA.A*DEPTH.w3A*AREAFRAC.wA</f>
        <v>7.65E+16</v>
      </c>
      <c r="C963" s="321" t="s">
        <v>981</v>
      </c>
    </row>
    <row r="964" spans="1:3" ht="15" x14ac:dyDescent="0.3">
      <c r="A964" s="317" t="s">
        <v>2584</v>
      </c>
      <c r="B964" s="318">
        <f>SYSTEMAREA.M*DEPTH.w3M*AREAFRAC.wM</f>
        <v>1.1635677E+17</v>
      </c>
      <c r="C964" s="321" t="s">
        <v>981</v>
      </c>
    </row>
    <row r="965" spans="1:3" ht="15" x14ac:dyDescent="0.3">
      <c r="A965" s="317" t="s">
        <v>3333</v>
      </c>
      <c r="B965" s="318">
        <f>SYSTEMAREA.T*DEPTH.w3T*AREAFRAC.wT</f>
        <v>2.6774999999999997E+17</v>
      </c>
      <c r="C965" s="321" t="s">
        <v>981</v>
      </c>
    </row>
    <row r="966" spans="1:3" ht="15" x14ac:dyDescent="0.3">
      <c r="A966" s="319" t="s">
        <v>2036</v>
      </c>
      <c r="B966" s="318">
        <f>0.1*WATERflow.w1C.w2C</f>
        <v>2089.1164383561645</v>
      </c>
      <c r="C966" s="317" t="s">
        <v>1089</v>
      </c>
    </row>
    <row r="967" spans="1:3" ht="15" x14ac:dyDescent="0.3">
      <c r="A967" s="319" t="s">
        <v>2038</v>
      </c>
      <c r="B967" s="318">
        <v>0</v>
      </c>
      <c r="C967" s="317" t="s">
        <v>1089</v>
      </c>
    </row>
    <row r="968" spans="1:3" ht="15" x14ac:dyDescent="0.3">
      <c r="A968" s="319" t="s">
        <v>1088</v>
      </c>
      <c r="B968" s="318">
        <f>0.1*WATERflow.w2R.w2C</f>
        <v>1369.8544520547946</v>
      </c>
      <c r="C968" s="317" t="s">
        <v>1089</v>
      </c>
    </row>
    <row r="969" spans="1:3" ht="15" x14ac:dyDescent="0.3">
      <c r="A969" s="319" t="s">
        <v>1092</v>
      </c>
      <c r="B969" s="318">
        <v>0</v>
      </c>
      <c r="C969" s="317" t="s">
        <v>1089</v>
      </c>
    </row>
    <row r="970" spans="1:3" ht="15" x14ac:dyDescent="0.3">
      <c r="A970" s="319" t="s">
        <v>2040</v>
      </c>
      <c r="B970" s="318">
        <v>0</v>
      </c>
      <c r="C970" s="317" t="s">
        <v>1089</v>
      </c>
    </row>
    <row r="971" spans="1:3" ht="15" x14ac:dyDescent="0.3">
      <c r="A971" s="319" t="s">
        <v>2042</v>
      </c>
      <c r="B971" s="318">
        <f>((AREAFRAC.w1C+AREAFRAC.s1C*FRACrun.s1C+AREAFRAC.s2C*FRACrun.s2C+AREAFRAC.s3C*FRACrun.s3C)*RAINrate.C*SYSTEMAREA.C+WATERflow.w0C.w1C)*FRAC.w1C.w1R</f>
        <v>0</v>
      </c>
      <c r="C971" s="321" t="s">
        <v>1089</v>
      </c>
    </row>
    <row r="972" spans="1:3" ht="15" x14ac:dyDescent="0.3">
      <c r="A972" s="319" t="s">
        <v>2044</v>
      </c>
      <c r="B972" s="318">
        <f>((AREAFRAC.w1C+AREAFRAC.s1C*FRACrun.s1C+AREAFRAC.s2C*FRACrun.s2C+AREAFRAC.s3C*FRACrun.s3C)*RAINrate.C*SYSTEMAREA.C)*(1-FRAC.w1C.w1R)</f>
        <v>20891.164383561645</v>
      </c>
      <c r="C972" s="321" t="s">
        <v>1089</v>
      </c>
    </row>
    <row r="973" spans="1:3" ht="15" x14ac:dyDescent="0.3">
      <c r="A973" s="319" t="s">
        <v>1094</v>
      </c>
      <c r="B973" s="318">
        <v>0</v>
      </c>
      <c r="C973" s="317" t="s">
        <v>1089</v>
      </c>
    </row>
    <row r="974" spans="1:3" ht="15" x14ac:dyDescent="0.3">
      <c r="A974" s="319" t="s">
        <v>1096</v>
      </c>
      <c r="B974" s="318" t="e">
        <f>((AREAFRAC.w1R+AREAFRAC.s1R*FRACrun.s1R+AREAFRACs2R*FRACrun.s2R+AREAFRAC.s3R*FRACrun.s3R)*RAINrate.R*SYSTEMAREA.R+WATERflow.w1C.w1R)*(1-FRAC.w1R.w1C)</f>
        <v>#NAME?</v>
      </c>
      <c r="C974" s="317" t="s">
        <v>1089</v>
      </c>
    </row>
    <row r="975" spans="1:3" ht="15" x14ac:dyDescent="0.3">
      <c r="A975" s="319" t="s">
        <v>3045</v>
      </c>
      <c r="B975" s="318">
        <f>0</f>
        <v>0</v>
      </c>
      <c r="C975" s="321" t="s">
        <v>1089</v>
      </c>
    </row>
    <row r="976" spans="1:3" ht="15" x14ac:dyDescent="0.3">
      <c r="A976" s="319" t="s">
        <v>2052</v>
      </c>
      <c r="B976" s="318">
        <f>(VOLUME.w2C/TAU.w2C)-WATERflow.w2R.w2C</f>
        <v>23536593.185565703</v>
      </c>
      <c r="C976" s="321" t="s">
        <v>1089</v>
      </c>
    </row>
    <row r="977" spans="1:3" ht="15" x14ac:dyDescent="0.3">
      <c r="A977" s="319" t="s">
        <v>2050</v>
      </c>
      <c r="B977" s="318">
        <f>(10-1)*WATERflow.w1R.w2R</f>
        <v>12328.69006849315</v>
      </c>
      <c r="C977" s="321" t="s">
        <v>1089</v>
      </c>
    </row>
    <row r="978" spans="1:3" ht="15" x14ac:dyDescent="0.3">
      <c r="A978" s="319" t="s">
        <v>2634</v>
      </c>
      <c r="B978" s="318">
        <f>OceanCurrent</f>
        <v>150000000</v>
      </c>
      <c r="C978" s="321" t="s">
        <v>1089</v>
      </c>
    </row>
    <row r="979" spans="1:3" ht="15" x14ac:dyDescent="0.3">
      <c r="A979" s="319" t="s">
        <v>2632</v>
      </c>
      <c r="B979" s="318">
        <f>WATERflow.w2C.w2M</f>
        <v>23536593.185565703</v>
      </c>
      <c r="C979" s="321" t="s">
        <v>1089</v>
      </c>
    </row>
    <row r="980" spans="1:3" ht="15" x14ac:dyDescent="0.3">
      <c r="A980" s="319" t="s">
        <v>2636</v>
      </c>
      <c r="B980" s="318">
        <f>0</f>
        <v>0</v>
      </c>
      <c r="C980" s="321" t="s">
        <v>1089</v>
      </c>
    </row>
    <row r="981" spans="1:3" ht="15" x14ac:dyDescent="0.3">
      <c r="A981" s="319" t="s">
        <v>1098</v>
      </c>
      <c r="B981" s="318">
        <f>WATERflow.w1R.w2R+WATERflow.w2C.w2R</f>
        <v>13698.544520547945</v>
      </c>
      <c r="C981" s="317" t="s">
        <v>1089</v>
      </c>
    </row>
    <row r="982" spans="1:3" ht="15" x14ac:dyDescent="0.3">
      <c r="A982" s="319" t="s">
        <v>3362</v>
      </c>
      <c r="B982" s="318">
        <f>OceanCurrent</f>
        <v>150000000</v>
      </c>
      <c r="C982" s="321" t="s">
        <v>1089</v>
      </c>
    </row>
    <row r="983" spans="1:3" ht="15" x14ac:dyDescent="0.3">
      <c r="A983" s="317" t="s">
        <v>3105</v>
      </c>
      <c r="B983" s="318">
        <v>3</v>
      </c>
      <c r="C983" s="320" t="s">
        <v>1226</v>
      </c>
    </row>
    <row r="984" spans="1:3" ht="15" x14ac:dyDescent="0.3">
      <c r="A984" s="321" t="s">
        <v>770</v>
      </c>
      <c r="B984" s="321">
        <v>3</v>
      </c>
      <c r="C984" s="321" t="s">
        <v>715</v>
      </c>
    </row>
    <row r="985" spans="1:3" ht="15" x14ac:dyDescent="0.3">
      <c r="A985" s="317" t="s">
        <v>2733</v>
      </c>
      <c r="B985" s="318">
        <v>3</v>
      </c>
      <c r="C985" s="320" t="s">
        <v>1226</v>
      </c>
    </row>
    <row r="986" spans="1:3" ht="15" x14ac:dyDescent="0.3">
      <c r="A986" s="321" t="s">
        <v>714</v>
      </c>
      <c r="B986" s="321">
        <v>3</v>
      </c>
      <c r="C986" s="321" t="s">
        <v>715</v>
      </c>
    </row>
    <row r="987" spans="1:3" ht="1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09375" defaultRowHeight="12.75" customHeight="1" x14ac:dyDescent="0.3"/>
  <cols>
    <col min="1" max="1" width="2.5546875" style="26" customWidth="1" collapsed="1"/>
    <col min="2" max="2" width="33.109375" style="26" customWidth="1" collapsed="1"/>
    <col min="3" max="3" width="12.5546875" style="29" customWidth="1" collapsed="1"/>
    <col min="4" max="11" width="8.6640625" style="29" customWidth="1" collapsed="1"/>
    <col min="12" max="12" width="9.109375" style="29" customWidth="1" collapsed="1"/>
    <col min="13" max="14" width="3.6640625" style="26" customWidth="1" collapsed="1"/>
    <col min="15" max="41" width="9.109375" style="26" collapsed="1"/>
    <col min="42" max="42" width="10.5546875" style="26" customWidth="1" collapsed="1"/>
    <col min="43" max="51" width="9.109375" style="26" collapsed="1"/>
    <col min="52" max="62" width="9.109375" style="26"/>
    <col min="63" max="16384" width="9.10937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8384.5937284044794</v>
      </c>
      <c r="R4" s="11">
        <f>$E$11</f>
        <v>1803.0175474691684</v>
      </c>
      <c r="S4" s="685">
        <f>SUM(T4:V4)</f>
        <v>58.897048825684145</v>
      </c>
      <c r="T4" s="11">
        <f>$G$11</f>
        <v>57.169365340223557</v>
      </c>
      <c r="U4" s="11">
        <f>$I$11</f>
        <v>1.1996748891099953</v>
      </c>
      <c r="V4" s="962">
        <f>$K$11</f>
        <v>0.52800859635059472</v>
      </c>
      <c r="W4" s="11"/>
      <c r="X4" s="11"/>
      <c r="Y4" s="11"/>
      <c r="Z4" s="11"/>
      <c r="AA4" s="11"/>
      <c r="AB4" s="11"/>
      <c r="AC4" s="11"/>
      <c r="AD4" s="11"/>
      <c r="AE4" s="960"/>
      <c r="AF4" s="410" t="s">
        <v>4750</v>
      </c>
      <c r="AG4" s="685">
        <f>C15</f>
        <v>289.44944057979274</v>
      </c>
      <c r="AH4" s="685">
        <f>SUM(C23,C39,C55)</f>
        <v>24.53558874636909</v>
      </c>
      <c r="AI4" s="685">
        <f>SUM(C31,C47,C71)</f>
        <v>6.1555235612706407E-17</v>
      </c>
      <c r="AJ4" s="961">
        <f>SUM(C79,C87,C95)</f>
        <v>12.780661824065771</v>
      </c>
      <c r="AK4" s="11"/>
      <c r="AL4" s="11"/>
      <c r="AM4" s="11"/>
      <c r="AN4" s="11"/>
      <c r="AO4" s="11"/>
      <c r="AP4" s="11"/>
      <c r="AQ4" s="11"/>
      <c r="AR4" s="11"/>
      <c r="AS4" s="11"/>
    </row>
    <row r="5" spans="1:45" ht="12.75" customHeight="1" x14ac:dyDescent="0.35">
      <c r="A5" s="17"/>
      <c r="B5" s="21" t="s">
        <v>85</v>
      </c>
      <c r="C5" s="918" t="str">
        <f>ChemName</f>
        <v>GO-Chitosan</v>
      </c>
      <c r="D5" s="38"/>
      <c r="E5" s="38"/>
      <c r="F5" s="38"/>
      <c r="G5" s="447"/>
      <c r="H5" s="448"/>
      <c r="I5" s="448"/>
      <c r="J5" s="448"/>
      <c r="K5" s="38"/>
      <c r="L5" s="38"/>
      <c r="M5" s="17"/>
      <c r="N5" s="156"/>
      <c r="O5" s="11"/>
      <c r="P5" s="467" t="s">
        <v>4744</v>
      </c>
      <c r="Q5" s="685">
        <f>SUM(C19,C35,C51)</f>
        <v>-1.1292645629149521E+18</v>
      </c>
      <c r="R5" s="685">
        <f>SUM(E19,E35,E51)</f>
        <v>-9.3187162681866797E+22</v>
      </c>
      <c r="S5" s="685">
        <f>SUM(T5:V5)</f>
        <v>-6.227516063423558E+25</v>
      </c>
      <c r="T5" s="685">
        <f>SUM(G51,G59)</f>
        <v>-1.5086388472631336E+25</v>
      </c>
      <c r="U5" s="685">
        <f>SUM(I51,I59)</f>
        <v>-9.9886060208361658E+24</v>
      </c>
      <c r="V5" s="961">
        <f>SUM(K51,K59)</f>
        <v>-3.7200166140768078E+25</v>
      </c>
      <c r="W5" s="11"/>
      <c r="X5" s="11"/>
      <c r="Y5" s="11"/>
      <c r="Z5" s="11"/>
      <c r="AA5" s="11"/>
      <c r="AB5" s="11"/>
      <c r="AC5" s="11"/>
      <c r="AD5" s="11"/>
      <c r="AE5" s="960"/>
      <c r="AF5" s="410" t="s">
        <v>4751</v>
      </c>
      <c r="AG5" s="685">
        <f>C16</f>
        <v>8095.1431347125017</v>
      </c>
      <c r="AH5" s="685">
        <f>SUM(C24,C40,C56)</f>
        <v>-1.1292645629151108E+18</v>
      </c>
      <c r="AI5" s="685">
        <f>SUM(C32,C48,C72)</f>
        <v>-115190.25520013487</v>
      </c>
      <c r="AJ5" s="961">
        <f>SUM(C80,C88,C96)</f>
        <v>6964630.5430340329</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23889677.304795276</v>
      </c>
      <c r="R6" s="685">
        <f>SUM(E27,E43,E67)</f>
        <v>-468049762.36551189</v>
      </c>
      <c r="S6" s="685">
        <f>SUM(T6:V6)</f>
        <v>-19874590006.770348</v>
      </c>
      <c r="T6" s="685">
        <f>G67</f>
        <v>-4851077346.0296583</v>
      </c>
      <c r="U6" s="685">
        <f>I67</f>
        <v>-3215946542.3146725</v>
      </c>
      <c r="V6" s="961">
        <f>K67</f>
        <v>-11807566118.426018</v>
      </c>
      <c r="W6" s="11"/>
      <c r="X6" s="11"/>
      <c r="Y6" s="11"/>
      <c r="Z6" s="11"/>
      <c r="AA6" s="11"/>
      <c r="AB6" s="11"/>
      <c r="AC6" s="11"/>
      <c r="AD6" s="11"/>
      <c r="AE6" s="963"/>
      <c r="AF6" s="479" t="s">
        <v>4752</v>
      </c>
      <c r="AG6" s="964">
        <f>C17</f>
        <v>1.1531121859776011E-3</v>
      </c>
      <c r="AH6" s="964">
        <f>SUM(C25,C41,C57)</f>
        <v>158641.39520285733</v>
      </c>
      <c r="AI6" s="964">
        <f>SUM(C33,C49,C73)</f>
        <v>24004867.559995409</v>
      </c>
      <c r="AJ6" s="965">
        <f>SUM(C81,C89,C97)</f>
        <v>6458657051.5652761</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6465621694.8889723</v>
      </c>
      <c r="R7" s="964">
        <f>SUM(E75,E83,E91)</f>
        <v>730028.05498977983</v>
      </c>
      <c r="S7" s="964">
        <f>SUM(T7:V7)</f>
        <v>6827.2621691293089</v>
      </c>
      <c r="T7" s="964">
        <f>G91</f>
        <v>6646.5476634545357</v>
      </c>
      <c r="U7" s="964">
        <f>I91</f>
        <v>149.12998816302053</v>
      </c>
      <c r="V7" s="965">
        <f>K91</f>
        <v>31.584517511753301</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1.6787608719546332</v>
      </c>
      <c r="AH9" s="685">
        <f>SUM(E23,E39,E55)</f>
        <v>1.6618455913492416E-3</v>
      </c>
      <c r="AI9" s="685">
        <f>SUM(E31,E47,E71)</f>
        <v>1.2499347530570215E-22</v>
      </c>
      <c r="AJ9" s="961">
        <f>SUM(E79,E87,E95)</f>
        <v>9.8838116598379635E-4</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1801.3386375557113</v>
      </c>
      <c r="AH10" s="685">
        <f>SUM(E24,E40,E56)</f>
        <v>-9.3187162681866797E+22</v>
      </c>
      <c r="AI10" s="685">
        <f>SUM(E32,E48,E72)</f>
        <v>-475276272.85551208</v>
      </c>
      <c r="AJ10" s="961">
        <f>SUM(E80,E88,E96)</f>
        <v>331919.2148626119</v>
      </c>
      <c r="AK10" s="11"/>
      <c r="AL10" s="11"/>
      <c r="AM10" s="11"/>
      <c r="AN10" s="11"/>
      <c r="AO10" s="11"/>
      <c r="AP10" s="11"/>
      <c r="AQ10" s="11"/>
      <c r="AR10" s="11"/>
      <c r="AS10" s="11"/>
    </row>
    <row r="11" spans="1:45" ht="12.75" customHeight="1" x14ac:dyDescent="0.3">
      <c r="A11" s="17"/>
      <c r="B11" s="452" t="s">
        <v>136</v>
      </c>
      <c r="C11" s="453">
        <f>SUM(C12,C15:C17)</f>
        <v>8384.5937284044794</v>
      </c>
      <c r="D11" s="446">
        <f t="shared" ref="D11:D17" si="0">C11/$C$103</f>
        <v>-7.4248267872189531E-15</v>
      </c>
      <c r="E11" s="453">
        <f>SUM(E12,E15:E17)</f>
        <v>1803.0175474691684</v>
      </c>
      <c r="F11" s="446">
        <f t="shared" ref="F11:F17" si="1">E11/$E$103</f>
        <v>-1.9348346870743464E-20</v>
      </c>
      <c r="G11" s="445">
        <f>SUM(G12,G15:G17)</f>
        <v>57.169365340223557</v>
      </c>
      <c r="H11" s="446">
        <f t="shared" ref="H11:H17" si="2">G11/$G$103</f>
        <v>-3.7894666071960285E-24</v>
      </c>
      <c r="I11" s="445">
        <f>SUM(I12,I15:I17)</f>
        <v>1.1996748891099953</v>
      </c>
      <c r="J11" s="446">
        <f t="shared" ref="J11:J17" si="3">I11/$I$103</f>
        <v>-1.2010433554066312E-25</v>
      </c>
      <c r="K11" s="445">
        <f>SUM(K12,K15:K17)</f>
        <v>0.52800859635059472</v>
      </c>
      <c r="L11" s="461">
        <f t="shared" ref="L11:L17" si="4">K11/$K$103</f>
        <v>-1.419371608052965E-26</v>
      </c>
      <c r="M11" s="17"/>
      <c r="N11" s="156"/>
      <c r="O11" s="11"/>
      <c r="P11" s="467" t="s">
        <v>243</v>
      </c>
      <c r="Q11" s="685">
        <f>C100</f>
        <v>326.76569115022767</v>
      </c>
      <c r="R11" s="685">
        <f>E100</f>
        <v>1.6814110987119661</v>
      </c>
      <c r="S11" s="685">
        <f>SUM(T11:V11)</f>
        <v>1.4319537173320667E-3</v>
      </c>
      <c r="T11" s="685">
        <f>G100</f>
        <v>1.43104795594817E-3</v>
      </c>
      <c r="U11" s="685">
        <f>I100</f>
        <v>3.6341166956096325E-7</v>
      </c>
      <c r="V11" s="961">
        <f>K100</f>
        <v>5.4234971433573824E-7</v>
      </c>
      <c r="W11" s="11"/>
      <c r="X11" s="11"/>
      <c r="Y11" s="11"/>
      <c r="Z11" s="11"/>
      <c r="AA11" s="11"/>
      <c r="AB11" s="11"/>
      <c r="AC11" s="11"/>
      <c r="AD11" s="11"/>
      <c r="AE11" s="464"/>
      <c r="AF11" s="479" t="s">
        <v>4752</v>
      </c>
      <c r="AG11" s="964">
        <f>E17</f>
        <v>1.4904150249030746E-4</v>
      </c>
      <c r="AH11" s="964">
        <f>SUM(E25,E41,E57)</f>
        <v>886562.4309443786</v>
      </c>
      <c r="AI11" s="964">
        <f>SUM(E33,E49,E73)</f>
        <v>7226510.4900001856</v>
      </c>
      <c r="AJ11" s="965">
        <f>SUM(E81,E89,E97)</f>
        <v>398108.83913878677</v>
      </c>
      <c r="AK11" s="11"/>
      <c r="AL11" s="11"/>
      <c r="AM11" s="11"/>
      <c r="AN11" s="11"/>
      <c r="AO11" s="11"/>
      <c r="AP11" s="11"/>
      <c r="AQ11" s="11"/>
      <c r="AR11" s="11"/>
      <c r="AS11" s="11"/>
    </row>
    <row r="12" spans="1:45" ht="12.75" customHeight="1" x14ac:dyDescent="0.3">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-1.1292645629082534E+18</v>
      </c>
      <c r="R12" s="685">
        <f>E101</f>
        <v>-9.3187162681867267E+22</v>
      </c>
      <c r="S12" s="685">
        <f>SUM(T12:V12)</f>
        <v>-6.2275160634235605E+25</v>
      </c>
      <c r="T12" s="685">
        <f>G101</f>
        <v>-1.508638847263134E+25</v>
      </c>
      <c r="U12" s="685">
        <f>I101</f>
        <v>-9.9886060208361701E+24</v>
      </c>
      <c r="V12" s="961">
        <f>K101</f>
        <v>-3.7200166140768091E+25</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6482820560.5216274</v>
      </c>
      <c r="R13" s="964">
        <f>E102</f>
        <v>8511181.7602323927</v>
      </c>
      <c r="S13" s="964">
        <f>SUM(T13:V13)</f>
        <v>1789990064.8947239</v>
      </c>
      <c r="T13" s="964">
        <f>G102</f>
        <v>325619265.17356759</v>
      </c>
      <c r="U13" s="964">
        <f>I102</f>
        <v>137960128.69839218</v>
      </c>
      <c r="V13" s="965">
        <f>K102</f>
        <v>1326410671.0227642</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1.4298454517066895E-3</v>
      </c>
      <c r="AH14" s="685">
        <f t="shared" si="5"/>
        <v>1.2122206165196961E-6</v>
      </c>
      <c r="AI14" s="685">
        <f t="shared" si="5"/>
        <v>5.1650144893826948E-33</v>
      </c>
      <c r="AJ14" s="961">
        <f t="shared" si="5"/>
        <v>8.9604500885737869E-7</v>
      </c>
      <c r="AK14" s="11"/>
      <c r="AL14" s="11"/>
      <c r="AM14" s="11"/>
      <c r="AN14" s="11"/>
      <c r="AO14" s="11"/>
      <c r="AP14" s="11"/>
      <c r="AQ14" s="11"/>
      <c r="AR14" s="11"/>
      <c r="AS14" s="11"/>
    </row>
    <row r="15" spans="1:45" ht="12.75" customHeight="1" x14ac:dyDescent="0.3">
      <c r="A15" s="17"/>
      <c r="B15" s="159" t="s">
        <v>147</v>
      </c>
      <c r="C15" s="295">
        <f>(M.aRS+M.cwRS)*Molweight</f>
        <v>289.44944057979274</v>
      </c>
      <c r="D15" s="446">
        <f t="shared" si="0"/>
        <v>-2.5631676734459315E-16</v>
      </c>
      <c r="E15" s="296">
        <f>(M.aCS+M.cwCS)*Molweight</f>
        <v>1.6787608719546332</v>
      </c>
      <c r="F15" s="446">
        <f t="shared" si="1"/>
        <v>-1.8014937075461505E-23</v>
      </c>
      <c r="G15" s="296">
        <f>(M.aMS+M.cwMS)*Molweight</f>
        <v>1.4289414013128625E-3</v>
      </c>
      <c r="H15" s="446">
        <f t="shared" si="2"/>
        <v>-9.4717261450952762E-29</v>
      </c>
      <c r="I15" s="296">
        <f>(M.aAS+M.cwAS)*Molweight</f>
        <v>3.6318010370649007E-7</v>
      </c>
      <c r="J15" s="446">
        <f t="shared" si="3"/>
        <v>-3.6359438238819174E-32</v>
      </c>
      <c r="K15" s="296">
        <f>(M.aTS+M.cwTS)*Molweight</f>
        <v>5.4087029012058646E-7</v>
      </c>
      <c r="L15" s="461">
        <f t="shared" si="4"/>
        <v>-1.4539458992572628E-32</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58.895616219604307</v>
      </c>
      <c r="AH15" s="685">
        <f t="shared" si="5"/>
        <v>-6.227516063423558E+25</v>
      </c>
      <c r="AI15" s="685">
        <f t="shared" si="5"/>
        <v>-20496785071.334225</v>
      </c>
      <c r="AJ15" s="961">
        <f t="shared" si="5"/>
        <v>6617.9045770642333</v>
      </c>
      <c r="AK15" s="11"/>
      <c r="AL15" s="11"/>
      <c r="AM15" s="11"/>
      <c r="AN15" s="11"/>
      <c r="AO15" s="11"/>
      <c r="AP15" s="11"/>
      <c r="AQ15" s="11"/>
      <c r="AR15" s="11"/>
      <c r="AS15" s="11"/>
    </row>
    <row r="16" spans="1:45" ht="12.75" customHeight="1" x14ac:dyDescent="0.3">
      <c r="A16" s="17"/>
      <c r="B16" s="159" t="s">
        <v>150</v>
      </c>
      <c r="C16" s="295">
        <f>(M.aRA+M.cwRA)*Molweight</f>
        <v>8095.1431347125017</v>
      </c>
      <c r="D16" s="446">
        <f t="shared" si="0"/>
        <v>-7.1685089987565197E-15</v>
      </c>
      <c r="E16" s="296">
        <f>(M.aCA+M.cwCA)*Molweight</f>
        <v>1801.3386375557113</v>
      </c>
      <c r="F16" s="446">
        <f t="shared" si="1"/>
        <v>-1.9330330334289955E-20</v>
      </c>
      <c r="G16" s="296">
        <f>(M.aMA+M.cwMA)*Molweight</f>
        <v>57.167933687608119</v>
      </c>
      <c r="H16" s="446">
        <f t="shared" si="2"/>
        <v>-3.7893717102219759E-24</v>
      </c>
      <c r="I16" s="296">
        <f>(M.aAA+M.cwAA)*Molweight</f>
        <v>1.1996744893498814</v>
      </c>
      <c r="J16" s="446">
        <f t="shared" si="3"/>
        <v>-1.2010429551905119E-25</v>
      </c>
      <c r="K16" s="296">
        <f>(M.aTA+M.cwTA)*Molweight</f>
        <v>0.52800804264630374</v>
      </c>
      <c r="L16" s="461">
        <f t="shared" si="4"/>
        <v>-1.4193701196072175E-26</v>
      </c>
      <c r="M16" s="17"/>
      <c r="N16" s="156"/>
      <c r="O16" s="11"/>
      <c r="P16" s="472" t="s">
        <v>243</v>
      </c>
      <c r="Q16" s="968">
        <f t="shared" ref="Q16:V18" si="6">Q11</f>
        <v>326.76569115022767</v>
      </c>
      <c r="R16" s="968">
        <f t="shared" si="6"/>
        <v>1.6814110987119661</v>
      </c>
      <c r="S16" s="968">
        <f t="shared" si="6"/>
        <v>1.4319537173320667E-3</v>
      </c>
      <c r="T16" s="968">
        <f t="shared" si="6"/>
        <v>1.43104795594817E-3</v>
      </c>
      <c r="U16" s="968">
        <f t="shared" si="6"/>
        <v>3.6341166956096325E-7</v>
      </c>
      <c r="V16" s="969">
        <f t="shared" si="6"/>
        <v>5.4234971433573824E-7</v>
      </c>
      <c r="W16" s="11"/>
      <c r="X16" s="11"/>
      <c r="Y16" s="11"/>
      <c r="Z16" s="11"/>
      <c r="AA16" s="11"/>
      <c r="AB16" s="11"/>
      <c r="AC16" s="11"/>
      <c r="AD16" s="11"/>
      <c r="AE16" s="464"/>
      <c r="AF16" s="479" t="s">
        <v>4752</v>
      </c>
      <c r="AG16" s="964">
        <f t="shared" si="5"/>
        <v>2.7606281323730277E-6</v>
      </c>
      <c r="AH16" s="964">
        <f t="shared" si="5"/>
        <v>1167794790.9732537</v>
      </c>
      <c r="AI16" s="964">
        <f t="shared" si="5"/>
        <v>622195064.56387591</v>
      </c>
      <c r="AJ16" s="965">
        <f t="shared" si="5"/>
        <v>209.35759116903111</v>
      </c>
      <c r="AK16" s="11"/>
      <c r="AL16" s="11"/>
      <c r="AM16" s="11"/>
      <c r="AN16" s="11"/>
      <c r="AO16" s="11"/>
      <c r="AP16" s="11"/>
      <c r="AQ16" s="11"/>
      <c r="AR16" s="11"/>
      <c r="AS16" s="11"/>
    </row>
    <row r="17" spans="1:45" ht="12.75" customHeight="1" x14ac:dyDescent="0.3">
      <c r="A17" s="17"/>
      <c r="B17" s="159" t="s">
        <v>152</v>
      </c>
      <c r="C17" s="295">
        <f>(M.aRP+M.cwRP)*Molweight</f>
        <v>1.1531121859776011E-3</v>
      </c>
      <c r="D17" s="446">
        <f t="shared" si="0"/>
        <v>-1.021117841179445E-21</v>
      </c>
      <c r="E17" s="296">
        <f>(M.aCP+M.cwCP)*Molweight</f>
        <v>1.4904150249030746E-4</v>
      </c>
      <c r="F17" s="446">
        <f t="shared" si="1"/>
        <v>-1.5993780495187089E-27</v>
      </c>
      <c r="G17" s="296">
        <f>(M.aMP+M.cwMP)*Molweight</f>
        <v>2.7112141214133545E-6</v>
      </c>
      <c r="H17" s="446">
        <f t="shared" si="2"/>
        <v>-1.7971260161647352E-31</v>
      </c>
      <c r="I17" s="296">
        <f>(M.aAP+M.cwAP)*Molweight</f>
        <v>3.6580010068402586E-8</v>
      </c>
      <c r="J17" s="446">
        <f t="shared" si="3"/>
        <v>-3.66217367990057E-33</v>
      </c>
      <c r="K17" s="296">
        <f>(M.aTP+M.cwTP)*Molweight</f>
        <v>1.28340008912709E-8</v>
      </c>
      <c r="L17" s="461">
        <f t="shared" si="4"/>
        <v>-3.4499848314403012E-34</v>
      </c>
      <c r="M17" s="17"/>
      <c r="N17" s="156"/>
      <c r="O17" s="11"/>
      <c r="P17" s="472" t="s">
        <v>244</v>
      </c>
      <c r="Q17" s="968">
        <f t="shared" si="6"/>
        <v>-1.1292645629082534E+18</v>
      </c>
      <c r="R17" s="968">
        <f t="shared" si="6"/>
        <v>-9.3187162681867267E+22</v>
      </c>
      <c r="S17" s="968">
        <f t="shared" si="6"/>
        <v>-6.2275160634235605E+25</v>
      </c>
      <c r="T17" s="968">
        <f t="shared" si="6"/>
        <v>-1.508638847263134E+25</v>
      </c>
      <c r="U17" s="968">
        <f t="shared" si="6"/>
        <v>-9.9886060208361701E+24</v>
      </c>
      <c r="V17" s="969">
        <f t="shared" si="6"/>
        <v>-3.7200166140768091E+25</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6482820560.5216274</v>
      </c>
      <c r="R18" s="970">
        <f t="shared" si="6"/>
        <v>8511181.7602323927</v>
      </c>
      <c r="S18" s="970">
        <f t="shared" si="6"/>
        <v>1789990064.8947239</v>
      </c>
      <c r="T18" s="970">
        <f t="shared" si="6"/>
        <v>325619265.17356759</v>
      </c>
      <c r="U18" s="970">
        <f t="shared" si="6"/>
        <v>137960128.69839218</v>
      </c>
      <c r="V18" s="971">
        <f t="shared" si="6"/>
        <v>1326410671.0227642</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3">
      <c r="A19" s="17"/>
      <c r="B19" s="104" t="s">
        <v>157</v>
      </c>
      <c r="C19" s="295">
        <f>SUM(C20,C23:C25)</f>
        <v>17624642.145635888</v>
      </c>
      <c r="D19" s="446">
        <f t="shared" ref="D19:D25" si="7">C19/$C$103</f>
        <v>-1.5607186150803164E-11</v>
      </c>
      <c r="E19" s="295">
        <f>SUM(E20,E23:E25)</f>
        <v>957515.23060394102</v>
      </c>
      <c r="F19" s="446">
        <f t="shared" ref="F19:F25" si="8">E19/$E$103</f>
        <v>-1.0275183867039857E-17</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1.4289414013128625E-3</v>
      </c>
      <c r="AH19" s="685">
        <f>SUM(G55,G63)</f>
        <v>1.2109273757857846E-6</v>
      </c>
      <c r="AI19" s="335">
        <f>G71</f>
        <v>5.1599490799245556E-33</v>
      </c>
      <c r="AJ19" s="961">
        <f>G95</f>
        <v>8.9562725952166498E-7</v>
      </c>
      <c r="AK19" s="11"/>
      <c r="AL19" s="11"/>
      <c r="AM19" s="11"/>
      <c r="AN19" s="11"/>
      <c r="AO19" s="11"/>
      <c r="AP19" s="11"/>
      <c r="AQ19" s="11"/>
      <c r="AR19" s="11"/>
      <c r="AS19" s="11"/>
    </row>
    <row r="20" spans="1:45" ht="12.75" customHeight="1" x14ac:dyDescent="0.3">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57.167933687608119</v>
      </c>
      <c r="AH20" s="685">
        <f>SUM(G56,G64)</f>
        <v>-1.5086388472631336E+25</v>
      </c>
      <c r="AI20" s="335">
        <f>G72</f>
        <v>-4964135566.9592218</v>
      </c>
      <c r="AJ20" s="961">
        <f>G96</f>
        <v>6437.3059375792636</v>
      </c>
      <c r="AK20" s="11"/>
      <c r="AL20" s="11"/>
      <c r="AM20" s="11"/>
      <c r="AN20" s="11"/>
      <c r="AO20" s="11"/>
      <c r="AP20" s="11"/>
      <c r="AQ20" s="11"/>
      <c r="AR20" s="11"/>
      <c r="AS20" s="11"/>
    </row>
    <row r="21" spans="1:45" ht="12.75" customHeight="1" x14ac:dyDescent="0.3">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-1.1292645564254324E+18</v>
      </c>
      <c r="R21" s="964">
        <f>$E$103</f>
        <v>-9.318716268186725E+22</v>
      </c>
      <c r="S21" s="964">
        <f>SUM(T21:V21)</f>
        <v>-6.2275160634235605E+25</v>
      </c>
      <c r="T21" s="964">
        <f>$G$103</f>
        <v>-1.508638847263134E+25</v>
      </c>
      <c r="U21" s="964">
        <f>$I$103</f>
        <v>-9.9886060208361701E+24</v>
      </c>
      <c r="V21" s="965">
        <f>$K$103</f>
        <v>-3.7200166140768091E+25</v>
      </c>
      <c r="W21" s="410">
        <v>2</v>
      </c>
      <c r="X21" s="410" t="s">
        <v>4755</v>
      </c>
      <c r="Y21" s="11"/>
      <c r="Z21" s="11"/>
      <c r="AA21" s="11"/>
      <c r="AB21" s="11"/>
      <c r="AC21" s="11"/>
      <c r="AD21" s="11"/>
      <c r="AE21" s="467"/>
      <c r="AF21" s="410" t="s">
        <v>4752</v>
      </c>
      <c r="AG21" s="685">
        <f>G17</f>
        <v>2.7112141214133545E-6</v>
      </c>
      <c r="AH21" s="685">
        <f>SUM(G57,G65)</f>
        <v>212560835.00227597</v>
      </c>
      <c r="AI21" s="335">
        <f>G73</f>
        <v>113058220.92956392</v>
      </c>
      <c r="AJ21" s="961">
        <f>G97</f>
        <v>209.24172497964469</v>
      </c>
      <c r="AK21" s="410">
        <v>6</v>
      </c>
      <c r="AL21" s="410" t="s">
        <v>4756</v>
      </c>
      <c r="AM21" s="11"/>
      <c r="AN21" s="11"/>
      <c r="AO21" s="11"/>
      <c r="AP21" s="11"/>
      <c r="AQ21" s="11"/>
      <c r="AR21" s="11"/>
      <c r="AS21" s="11"/>
    </row>
    <row r="22" spans="1:45" ht="12.75" customHeight="1" x14ac:dyDescent="0.3">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5.5203596836891369E-2</v>
      </c>
      <c r="D23" s="446">
        <f t="shared" si="7"/>
        <v>-4.8884556344912233E-20</v>
      </c>
      <c r="E23" s="295">
        <f>M.w0CS*Molweight</f>
        <v>1.5500571756174364E-4</v>
      </c>
      <c r="F23" s="446">
        <f t="shared" si="8"/>
        <v>-1.6633805891367191E-27</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3">
      <c r="A24" s="17"/>
      <c r="B24" s="159" t="s">
        <v>150</v>
      </c>
      <c r="C24" s="295">
        <f>M.w0RA*Molweight</f>
        <v>17587921.094672199</v>
      </c>
      <c r="D24" s="446">
        <f t="shared" si="7"/>
        <v>-1.5574668481887809E-11</v>
      </c>
      <c r="E24" s="295">
        <f>M.w0CA*Molweight</f>
        <v>957512.38871131954</v>
      </c>
      <c r="F24" s="446">
        <f t="shared" si="8"/>
        <v>-1.0275153370429169E-17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3.6318010370649007E-7</v>
      </c>
      <c r="AH24" s="685">
        <f>SUM(I55,I63)</f>
        <v>1.3628664256814917E-10</v>
      </c>
      <c r="AI24" s="685">
        <f>I71</f>
        <v>6.4702938499915281E-37</v>
      </c>
      <c r="AJ24" s="961">
        <f>I95</f>
        <v>9.5279211905069125E-11</v>
      </c>
      <c r="AK24" s="11"/>
      <c r="AL24" s="11"/>
      <c r="AM24" s="11"/>
      <c r="AN24" s="11"/>
      <c r="AO24" s="11"/>
      <c r="AP24" s="11"/>
      <c r="AQ24" s="11"/>
      <c r="AR24" s="11"/>
      <c r="AS24"/>
    </row>
    <row r="25" spans="1:45" ht="12.75" customHeight="1" x14ac:dyDescent="0.3">
      <c r="A25" s="17"/>
      <c r="B25" s="159" t="s">
        <v>152</v>
      </c>
      <c r="C25" s="295">
        <f>M.w0RP*Molweight</f>
        <v>36720.995760091195</v>
      </c>
      <c r="D25" s="446">
        <f t="shared" si="7"/>
        <v>-3.2517620030799183E-14</v>
      </c>
      <c r="E25" s="295">
        <f>M.w0CP*Molweight</f>
        <v>2.8417376157717706</v>
      </c>
      <c r="F25" s="446">
        <f t="shared" si="8"/>
        <v>-3.0494947308066584E-23</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1.1996744893498814</v>
      </c>
      <c r="AH25" s="685">
        <f>SUM(I56,I64)</f>
        <v>-9.9886060208361658E+24</v>
      </c>
      <c r="AI25" s="685">
        <f>I72</f>
        <v>-3263723897.3923073</v>
      </c>
      <c r="AJ25" s="961">
        <f>I96</f>
        <v>149.09957213620632</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3.6580010068402586E-8</v>
      </c>
      <c r="AH26" s="685">
        <f>SUM(I57,I65)</f>
        <v>90182773.590341091</v>
      </c>
      <c r="AI26" s="685">
        <f>I73</f>
        <v>47777355.077635005</v>
      </c>
      <c r="AJ26" s="961">
        <f>I97</f>
        <v>3.0416026718947473E-2</v>
      </c>
      <c r="AK26" s="11"/>
      <c r="AL26" s="11"/>
      <c r="AM26" s="11"/>
      <c r="AN26" s="11"/>
      <c r="AO26" s="11"/>
      <c r="AP26" s="11"/>
      <c r="AQ26" s="11"/>
      <c r="AR26" s="11"/>
      <c r="AS26" s="11"/>
    </row>
    <row r="27" spans="1:45" ht="12.75" customHeight="1" x14ac:dyDescent="0.3">
      <c r="A27" s="17"/>
      <c r="B27" s="104" t="s">
        <v>174</v>
      </c>
      <c r="C27" s="295">
        <f>SUM(C28,C31:C33)</f>
        <v>2026481.9676244138</v>
      </c>
      <c r="D27" s="446">
        <f t="shared" ref="D27:D33" si="9">C27/$C$103</f>
        <v>-1.7945148070873917E-12</v>
      </c>
      <c r="E27" s="295">
        <f>SUM(E28,E31:E33)</f>
        <v>157.97734233742344</v>
      </c>
      <c r="F27" s="446">
        <f t="shared" ref="F27:F33" si="10">E27/$E$103</f>
        <v>-1.6952693674851346E-21</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3">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5.4087029012058646E-7</v>
      </c>
      <c r="AH29" s="335">
        <f>SUM(K55,K63)</f>
        <v>1.1569540913431488E-9</v>
      </c>
      <c r="AI29" s="335">
        <f>K71</f>
        <v>4.4183800731406409E-36</v>
      </c>
      <c r="AJ29" s="468">
        <f>K95</f>
        <v>3.2247012380865691E-10</v>
      </c>
      <c r="AK29" s="11"/>
      <c r="AL29" s="11"/>
      <c r="AM29" s="11"/>
      <c r="AN29" s="11"/>
      <c r="AO29" s="11"/>
      <c r="AP29" s="11"/>
      <c r="AQ29" s="11"/>
      <c r="AR29" s="11"/>
      <c r="AS29" s="11"/>
    </row>
    <row r="30" spans="1:45" ht="12.75" customHeight="1" x14ac:dyDescent="0.3">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0.52800804264630374</v>
      </c>
      <c r="AH30" s="335">
        <f>SUM(K56,K64)</f>
        <v>-3.7200166140768078E+25</v>
      </c>
      <c r="AI30" s="335">
        <f>K72</f>
        <v>-12268925606.982695</v>
      </c>
      <c r="AJ30" s="468">
        <f>K96</f>
        <v>31.49906734876334</v>
      </c>
      <c r="AK30" s="11"/>
      <c r="AL30" s="11"/>
      <c r="AM30" s="11"/>
      <c r="AN30" s="11"/>
      <c r="AO30" s="11"/>
      <c r="AP30" s="11"/>
      <c r="AQ30" s="11"/>
      <c r="AR30" s="11"/>
      <c r="AS30" s="11"/>
    </row>
    <row r="31" spans="1:45" ht="12.75" customHeight="1" x14ac:dyDescent="0.3">
      <c r="A31" s="17"/>
      <c r="B31" s="159" t="s">
        <v>147</v>
      </c>
      <c r="C31" s="295">
        <f>M.sd0RS*Molweight</f>
        <v>4.1644099166573719E-21</v>
      </c>
      <c r="D31" s="446">
        <f t="shared" si="9"/>
        <v>-3.6877186067358483E-39</v>
      </c>
      <c r="E31" s="295">
        <f>M.sd0CS*Molweight</f>
        <v>1.1693211939687649E-23</v>
      </c>
      <c r="F31" s="446">
        <f t="shared" si="10"/>
        <v>-1.2548093109785134E-46</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1.28340008912709E-8</v>
      </c>
      <c r="AH31" s="469">
        <f>SUM(K57,K65)</f>
        <v>865051182.38063681</v>
      </c>
      <c r="AI31" s="469">
        <f>K73</f>
        <v>461359488.55667698</v>
      </c>
      <c r="AJ31" s="470">
        <f>K97</f>
        <v>8.5450162667492516E-2</v>
      </c>
      <c r="AK31" s="11"/>
      <c r="AL31" s="11"/>
      <c r="AM31" s="11"/>
      <c r="AN31" s="11"/>
      <c r="AO31" s="11"/>
      <c r="AP31" s="11"/>
      <c r="AQ31" s="11"/>
      <c r="AR31" s="11"/>
      <c r="AS31" s="11"/>
    </row>
    <row r="32" spans="1:45" ht="12.75" customHeight="1" x14ac:dyDescent="0.3">
      <c r="A32" s="17"/>
      <c r="B32" s="159" t="s">
        <v>150</v>
      </c>
      <c r="C32" s="295">
        <f>M.sd0RA*Molweight</f>
        <v>6.0745022925775307E-7</v>
      </c>
      <c r="D32" s="446">
        <f t="shared" si="9"/>
        <v>-5.3791666957171893E-25</v>
      </c>
      <c r="E32" s="295">
        <f>M.sd0CA*Molweight</f>
        <v>3.331371961853944E-8</v>
      </c>
      <c r="F32" s="446">
        <f t="shared" si="10"/>
        <v>-3.5749258438385489E-31</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2026481.9676238063</v>
      </c>
      <c r="D33" s="446">
        <f t="shared" si="9"/>
        <v>-1.7945148070868537E-12</v>
      </c>
      <c r="E33" s="295">
        <f>M.sd0CP*Molweight</f>
        <v>157.97734230410973</v>
      </c>
      <c r="F33" s="446">
        <f t="shared" si="10"/>
        <v>-1.6952693671276421E-21</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11393121.584766766</v>
      </c>
      <c r="D35" s="446">
        <f t="shared" ref="D35:D41" si="11">C35/$C$103</f>
        <v>-1.0088974740188861E-11</v>
      </c>
      <c r="E35" s="295">
        <f>SUM(E36,E39:E41)</f>
        <v>379183.39519307658</v>
      </c>
      <c r="F35" s="446">
        <f t="shared" ref="F35:F41" si="12">E35/$E$103</f>
        <v>-4.0690518337549911E-18</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289.44944057979274</v>
      </c>
      <c r="AH35" s="968">
        <f t="shared" si="13"/>
        <v>24.53558874636909</v>
      </c>
      <c r="AI35" s="968">
        <f t="shared" si="13"/>
        <v>6.1555235612706407E-17</v>
      </c>
      <c r="AJ35" s="969">
        <f t="shared" si="13"/>
        <v>12.780661824065771</v>
      </c>
      <c r="AK35" s="11"/>
      <c r="AL35" s="11"/>
      <c r="AM35" s="11"/>
      <c r="AN35" s="11"/>
      <c r="AO35" s="11"/>
      <c r="AP35" s="11"/>
      <c r="AQ35" s="11"/>
      <c r="AR35" s="11"/>
      <c r="AS35" s="11"/>
    </row>
    <row r="36" spans="1:45" ht="12.75" customHeight="1" x14ac:dyDescent="0.3">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8095.1431347125017</v>
      </c>
      <c r="AH36" s="968">
        <f t="shared" si="13"/>
        <v>-1.1292645629151108E+18</v>
      </c>
      <c r="AI36" s="968">
        <f t="shared" si="13"/>
        <v>-115190.25520013487</v>
      </c>
      <c r="AJ36" s="969">
        <f t="shared" si="13"/>
        <v>6964630.5430340329</v>
      </c>
      <c r="AK36" s="11"/>
      <c r="AL36" s="11"/>
      <c r="AM36" s="11"/>
      <c r="AN36" s="11"/>
      <c r="AO36" s="11"/>
      <c r="AP36" s="11"/>
      <c r="AQ36" s="11"/>
      <c r="AR36" s="11"/>
      <c r="AS36" s="11"/>
    </row>
    <row r="37" spans="1:45" ht="12.75" customHeight="1" x14ac:dyDescent="0.3">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1.1531121859776011E-3</v>
      </c>
      <c r="AH37" s="970">
        <f t="shared" si="13"/>
        <v>158641.39520285733</v>
      </c>
      <c r="AI37" s="970">
        <f t="shared" si="13"/>
        <v>24004867.559995409</v>
      </c>
      <c r="AJ37" s="971">
        <f t="shared" si="13"/>
        <v>6458657051.5652761</v>
      </c>
      <c r="AK37" s="11"/>
      <c r="AL37" s="11"/>
      <c r="AM37" s="11"/>
      <c r="AN37" s="11"/>
      <c r="AO37" s="11"/>
      <c r="AP37" s="11"/>
      <c r="AQ37" s="11"/>
      <c r="AR37" s="11"/>
      <c r="AS37" s="11"/>
    </row>
    <row r="38" spans="1:45" ht="12.75" customHeight="1" x14ac:dyDescent="0.3">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24.478131351352044</v>
      </c>
      <c r="D39" s="446">
        <f t="shared" si="11"/>
        <v>-2.1676170753853268E-17</v>
      </c>
      <c r="E39" s="295">
        <f>M.w1CS*Molweight</f>
        <v>4.2862282586140134E-5</v>
      </c>
      <c r="F39" s="446">
        <f t="shared" si="12"/>
        <v>-4.5995909042180183E-28</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1.6787608719546332</v>
      </c>
      <c r="AH39" s="973">
        <f t="shared" si="14"/>
        <v>1.6618455913492416E-3</v>
      </c>
      <c r="AI39" s="973">
        <f t="shared" si="14"/>
        <v>1.2499347530570215E-22</v>
      </c>
      <c r="AJ39" s="974">
        <f t="shared" si="14"/>
        <v>9.8838116598379635E-4</v>
      </c>
      <c r="AK39" s="11"/>
      <c r="AL39" s="11"/>
      <c r="AM39" s="11"/>
      <c r="AN39" s="11"/>
      <c r="AO39" s="11"/>
      <c r="AP39" s="11"/>
      <c r="AQ39" s="11"/>
      <c r="AR39" s="11"/>
      <c r="AS39" s="11"/>
    </row>
    <row r="40" spans="1:45" ht="12.75" customHeight="1" x14ac:dyDescent="0.3">
      <c r="A40" s="17"/>
      <c r="B40" s="159" t="s">
        <v>150</v>
      </c>
      <c r="C40" s="295">
        <f>M.w1RA*Molweight</f>
        <v>11276751.117505031</v>
      </c>
      <c r="D40" s="446">
        <f t="shared" si="11"/>
        <v>-9.9859249573903167E-12</v>
      </c>
      <c r="E40" s="295">
        <f>M.w1CA*Molweight</f>
        <v>379174.82714829454</v>
      </c>
      <c r="F40" s="446">
        <f t="shared" si="12"/>
        <v>-4.0689598892796418E-18</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1801.3386375557113</v>
      </c>
      <c r="AH40" s="968">
        <f t="shared" si="14"/>
        <v>-9.3187162681866797E+22</v>
      </c>
      <c r="AI40" s="968">
        <f t="shared" si="14"/>
        <v>-475276272.85551208</v>
      </c>
      <c r="AJ40" s="969">
        <f t="shared" si="14"/>
        <v>331919.2148626119</v>
      </c>
      <c r="AK40" s="11"/>
      <c r="AL40" s="11"/>
      <c r="AM40" s="11"/>
      <c r="AN40" s="11"/>
      <c r="AO40" s="11"/>
      <c r="AP40" s="11"/>
      <c r="AQ40" s="11"/>
      <c r="AR40" s="11"/>
      <c r="AS40" s="11"/>
    </row>
    <row r="41" spans="1:45" ht="12.75" customHeight="1" x14ac:dyDescent="0.3">
      <c r="A41" s="17"/>
      <c r="B41" s="159" t="s">
        <v>152</v>
      </c>
      <c r="C41" s="295">
        <f>M.w1RP*Molweight</f>
        <v>116345.98913038278</v>
      </c>
      <c r="D41" s="446">
        <f t="shared" si="11"/>
        <v>-1.0302810662778942E-13</v>
      </c>
      <c r="E41" s="295">
        <f>M.w1CP*Molweight</f>
        <v>8.5680019197826276</v>
      </c>
      <c r="F41" s="446">
        <f t="shared" si="12"/>
        <v>-9.1944015390113656E-23</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1.4904150249030746E-4</v>
      </c>
      <c r="AH41" s="970">
        <f t="shared" si="14"/>
        <v>886562.4309443786</v>
      </c>
      <c r="AI41" s="970">
        <f t="shared" si="14"/>
        <v>7226510.4900001856</v>
      </c>
      <c r="AJ41" s="971">
        <f t="shared" si="14"/>
        <v>398108.83913878677</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21069830.899826635</v>
      </c>
      <c r="D43" s="446">
        <f t="shared" ref="D43:D49" si="15">C43/$C$103</f>
        <v>-1.8658011340160145E-11</v>
      </c>
      <c r="E43" s="295">
        <f>SUM(E44,E47:E49)</f>
        <v>1551.6336485127363</v>
      </c>
      <c r="F43" s="446">
        <f t="shared" ref="F43:F49" si="16">E43/$E$103</f>
        <v>-1.6650723166772195E-20</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1.4298454517066895E-3</v>
      </c>
      <c r="AH43" s="973">
        <f t="shared" si="17"/>
        <v>1.2122206165196961E-6</v>
      </c>
      <c r="AI43" s="973">
        <f t="shared" si="17"/>
        <v>5.1650144893826948E-33</v>
      </c>
      <c r="AJ43" s="974">
        <f t="shared" si="17"/>
        <v>8.9604500885737869E-7</v>
      </c>
      <c r="AK43" s="685"/>
      <c r="AL43"/>
      <c r="AM43" s="11"/>
      <c r="AN43" s="11"/>
      <c r="AO43" s="11"/>
      <c r="AP43" s="11"/>
      <c r="AQ43" s="11"/>
      <c r="AR43" s="410" t="s">
        <v>4762</v>
      </c>
      <c r="AS43" s="410" t="s">
        <v>4764</v>
      </c>
    </row>
    <row r="44" spans="1:45" ht="12.75" customHeight="1" x14ac:dyDescent="0.3">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58.895616219604307</v>
      </c>
      <c r="AH44" s="968">
        <f t="shared" si="17"/>
        <v>-6.227516063423558E+25</v>
      </c>
      <c r="AI44" s="968">
        <f t="shared" si="17"/>
        <v>-20496785071.334225</v>
      </c>
      <c r="AJ44" s="969">
        <f t="shared" si="17"/>
        <v>6617.9045770642333</v>
      </c>
      <c r="AK44" s="11"/>
      <c r="AL44"/>
      <c r="AM44" s="11"/>
      <c r="AN44" s="11"/>
      <c r="AO44" s="11"/>
      <c r="AP44" s="11"/>
      <c r="AQ44" s="11"/>
      <c r="AR44" s="11"/>
      <c r="AS44"/>
    </row>
    <row r="45" spans="1:45" ht="12.75" customHeight="1" x14ac:dyDescent="0.3">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2.7606281323730277E-6</v>
      </c>
      <c r="AH45" s="970">
        <f t="shared" si="17"/>
        <v>1167794790.9732537</v>
      </c>
      <c r="AI45" s="970">
        <f t="shared" si="17"/>
        <v>622195064.56387591</v>
      </c>
      <c r="AJ45" s="971">
        <f t="shared" si="17"/>
        <v>209.35759116903111</v>
      </c>
      <c r="AK45" s="11"/>
      <c r="AL45" s="11"/>
      <c r="AM45" s="11"/>
      <c r="AN45" s="11"/>
      <c r="AO45" s="11"/>
      <c r="AP45" s="11"/>
      <c r="AQ45" s="11"/>
      <c r="AR45" s="11"/>
      <c r="AS45"/>
    </row>
    <row r="46" spans="1:45" ht="12.75" customHeight="1" x14ac:dyDescent="0.3">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6.1550901182110145E-17</v>
      </c>
      <c r="D47" s="446">
        <f t="shared" si="15"/>
        <v>-5.4505298011781243E-35</v>
      </c>
      <c r="E47" s="295">
        <f>M.sd1CS*Molweight</f>
        <v>1.0777833005432705E-22</v>
      </c>
      <c r="F47" s="446">
        <f t="shared" si="16"/>
        <v>-1.156579156962561E-45</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1.278091097768541E-6</v>
      </c>
      <c r="D48" s="446">
        <f t="shared" si="15"/>
        <v>-1.1317906778321311E-24</v>
      </c>
      <c r="E48" s="295">
        <f>M.sd1CA*Molweight</f>
        <v>4.2975113125358016E-8</v>
      </c>
      <c r="F48" s="446">
        <f t="shared" si="16"/>
        <v>-4.6116988529923653E-31</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21069830.899825357</v>
      </c>
      <c r="D49" s="446">
        <f t="shared" si="15"/>
        <v>-1.8658011340159014E-11</v>
      </c>
      <c r="E49" s="295">
        <f>M.sd1CP*Molweight</f>
        <v>1551.6336484697611</v>
      </c>
      <c r="F49" s="446">
        <f t="shared" si="16"/>
        <v>-1.6650723166311022E-20</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-1.1292645629439698E+18</v>
      </c>
      <c r="D51" s="446">
        <f t="shared" ref="D51:D57" si="18">C51/$C$103</f>
        <v>1.0000000057723739</v>
      </c>
      <c r="E51" s="295">
        <f>SUM(E52,E55:E57)</f>
        <v>-9.3187162681866797E+22</v>
      </c>
      <c r="F51" s="446">
        <f t="shared" ref="F51:F57" si="19">E51/$E$103</f>
        <v>0.99999999999999512</v>
      </c>
      <c r="G51" s="296">
        <f>SUM(G52,G55:G57)</f>
        <v>-4.8665769266552679E+23</v>
      </c>
      <c r="H51" s="446">
        <f t="shared" ref="H51:H57" si="20">G51/$G$103</f>
        <v>3.2258064516129011E-2</v>
      </c>
      <c r="I51" s="296">
        <f>SUM(I52,I55:I57)</f>
        <v>-3.8985723580729009E+23</v>
      </c>
      <c r="J51" s="446">
        <f t="shared" ref="J51:J57" si="21">I51/$I$103</f>
        <v>3.9030194503021774E-2</v>
      </c>
      <c r="K51" s="296">
        <f>SUM(K52,K55:K57)</f>
        <v>-1.1198540249200372E+24</v>
      </c>
      <c r="L51" s="461">
        <f t="shared" ref="L51:L57" si="22">K51/$K$103</f>
        <v>3.0103468373835467E-2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2.2537981801570538E-3</v>
      </c>
      <c r="D55" s="446">
        <f t="shared" si="18"/>
        <v>-1.9958106072957906E-21</v>
      </c>
      <c r="E55" s="295">
        <f>M.w2CS*Molweight</f>
        <v>1.4639775912013578E-3</v>
      </c>
      <c r="F55" s="446">
        <f t="shared" si="19"/>
        <v>-1.5710077966417413E-26</v>
      </c>
      <c r="G55" s="296">
        <f>M.w2MS*Molweight</f>
        <v>1.2109068556633972E-6</v>
      </c>
      <c r="H55" s="446">
        <f t="shared" si="20"/>
        <v>-8.026485980127973E-32</v>
      </c>
      <c r="I55" s="296">
        <f>M.w2AS*Molweight</f>
        <v>1.3628412054833148E-10</v>
      </c>
      <c r="J55" s="446">
        <f t="shared" si="21"/>
        <v>-1.3643957952094982E-35</v>
      </c>
      <c r="K55" s="296">
        <f>M.w2TS*Molweight</f>
        <v>1.1569363122224389E-9</v>
      </c>
      <c r="L55" s="461">
        <f t="shared" si="22"/>
        <v>-3.1100299602010085E-35</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-1.1292645629439754E+18</v>
      </c>
      <c r="D56" s="446">
        <f t="shared" si="18"/>
        <v>1.000000005772379</v>
      </c>
      <c r="E56" s="295">
        <f>M.w2CA*Molweight</f>
        <v>-9.3187162681866797E+22</v>
      </c>
      <c r="F56" s="446">
        <f t="shared" si="19"/>
        <v>0.99999999999999512</v>
      </c>
      <c r="G56" s="296">
        <f>M.w2MA*Molweight</f>
        <v>-4.8665769266552679E+23</v>
      </c>
      <c r="H56" s="446">
        <f t="shared" si="20"/>
        <v>3.2258064516129011E-2</v>
      </c>
      <c r="I56" s="296">
        <f>M.w2AA*Molweight</f>
        <v>-3.8985723580729009E+23</v>
      </c>
      <c r="J56" s="446">
        <f t="shared" si="21"/>
        <v>3.9030194503021774E-2</v>
      </c>
      <c r="K56" s="296">
        <f>M.w2TA*Molweight</f>
        <v>-1.1198540249200372E+24</v>
      </c>
      <c r="L56" s="461">
        <f t="shared" si="22"/>
        <v>3.0103468373835467E-2</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5574.4103123833456</v>
      </c>
      <c r="D57" s="446">
        <f t="shared" si="18"/>
        <v>-4.9363192005499156E-15</v>
      </c>
      <c r="E57" s="295">
        <f>M.w2CP*Molweight</f>
        <v>886551.02120484307</v>
      </c>
      <c r="F57" s="446">
        <f t="shared" si="19"/>
        <v>-9.5136604194233287E-18</v>
      </c>
      <c r="G57" s="296">
        <f>M.w2MP*Molweight</f>
        <v>4461228.7309464235</v>
      </c>
      <c r="H57" s="446">
        <f t="shared" si="20"/>
        <v>-2.9571217386054123E-19</v>
      </c>
      <c r="I57" s="296">
        <f>M.w2AP*Molweight</f>
        <v>2241810.9730752967</v>
      </c>
      <c r="J57" s="446">
        <f t="shared" si="21"/>
        <v>-2.2443682015277135E-19</v>
      </c>
      <c r="K57" s="296">
        <f>M.w2TP*Molweight</f>
        <v>15927200.627270989</v>
      </c>
      <c r="L57" s="461">
        <f t="shared" si="22"/>
        <v>-4.2814864232061012E-19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-1.459973077996581E+25</v>
      </c>
      <c r="H59" s="446">
        <f t="shared" ref="H59:H65" si="23">G59/$G$103</f>
        <v>0.96774193548387077</v>
      </c>
      <c r="I59" s="296">
        <f>SUM(I60,I63:I65)</f>
        <v>-9.5987487850288759E+24</v>
      </c>
      <c r="J59" s="446">
        <f t="shared" ref="J59:J65" si="24">I59/$I$103</f>
        <v>0.96096980549697786</v>
      </c>
      <c r="K59" s="296">
        <f>SUM(K60,K63:K65)</f>
        <v>-3.608031211584804E+25</v>
      </c>
      <c r="L59" s="461">
        <f t="shared" ref="L59:L65" si="25">K59/$K$103</f>
        <v>0.96989653162616418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2.0520122387464547E-11</v>
      </c>
      <c r="H63" s="446">
        <f t="shared" si="23"/>
        <v>-1.3601745987577281E-36</v>
      </c>
      <c r="I63" s="296">
        <f>M.w3AS*Molweight</f>
        <v>2.5220198177021763E-15</v>
      </c>
      <c r="J63" s="446">
        <f t="shared" si="24"/>
        <v>-2.5248966797181295E-40</v>
      </c>
      <c r="K63" s="296">
        <f>M.w3TS*Molweight</f>
        <v>1.7779120709910764E-14</v>
      </c>
      <c r="L63" s="461">
        <f t="shared" si="25"/>
        <v>-4.7793121790460019E-40</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-1.459973077996581E+25</v>
      </c>
      <c r="H64" s="446">
        <f t="shared" si="23"/>
        <v>0.96774193548387077</v>
      </c>
      <c r="I64" s="296">
        <f>M.w3AA*Molweight</f>
        <v>-9.5987487850288759E+24</v>
      </c>
      <c r="J64" s="446">
        <f t="shared" si="24"/>
        <v>0.96096980549697786</v>
      </c>
      <c r="K64" s="296">
        <f>M.w3TA*Molweight</f>
        <v>-3.608031211584804E+25</v>
      </c>
      <c r="L64" s="461">
        <f t="shared" si="25"/>
        <v>0.96989653162616418</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208099606.27132955</v>
      </c>
      <c r="H65" s="446">
        <f t="shared" si="23"/>
        <v>-1.3793865022689105E-17</v>
      </c>
      <c r="I65" s="296">
        <f>M.w3AP*Molweight</f>
        <v>87940962.617265791</v>
      </c>
      <c r="J65" s="446">
        <f t="shared" si="24"/>
        <v>-8.8041276664452973E-18</v>
      </c>
      <c r="K65" s="296">
        <f>M.w3TP*Molweight</f>
        <v>849123981.75336587</v>
      </c>
      <c r="L65" s="461">
        <f t="shared" si="25"/>
        <v>-2.2825811544502784E-17</v>
      </c>
      <c r="M65" s="17"/>
      <c r="N65" s="156"/>
      <c r="O65" s="11"/>
      <c r="P65" s="11"/>
      <c r="Q65" s="11"/>
      <c r="R65" s="11"/>
      <c r="S65" s="11"/>
      <c r="T65" s="11"/>
      <c r="U65" s="11"/>
      <c r="V65" s="11"/>
      <c r="W65" s="11"/>
      <c r="X65" s="11"/>
      <c r="Y65" s="11"/>
      <c r="Z65" s="11"/>
      <c r="AA65" s="11"/>
      <c r="AB65" s="11"/>
      <c r="AC65" s="11"/>
      <c r="AD65" s="11"/>
      <c r="AE65" s="11"/>
      <c r="AF65" s="975"/>
      <c r="AG65" s="968" t="s">
        <v>4750</v>
      </c>
      <c r="AH65" s="968">
        <f>AG35</f>
        <v>289.44944057979274</v>
      </c>
      <c r="AI65" s="968" t="s">
        <v>4750</v>
      </c>
      <c r="AJ65" s="968">
        <f>AH35</f>
        <v>24.53558874636909</v>
      </c>
      <c r="AK65" s="968" t="s">
        <v>4750</v>
      </c>
      <c r="AL65" s="968">
        <f>AI35</f>
        <v>6.1555235612706407E-17</v>
      </c>
      <c r="AM65" s="968" t="s">
        <v>4750</v>
      </c>
      <c r="AN65" s="969">
        <f>AJ35</f>
        <v>12.780661824065771</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8095.1431347125017</v>
      </c>
      <c r="AI66" s="968" t="s">
        <v>4751</v>
      </c>
      <c r="AJ66" s="968">
        <f>AH36</f>
        <v>-1.1292645629151108E+18</v>
      </c>
      <c r="AK66" s="968" t="s">
        <v>4751</v>
      </c>
      <c r="AL66" s="968">
        <f>AI36</f>
        <v>-115190.25520013487</v>
      </c>
      <c r="AM66" s="968" t="s">
        <v>4751</v>
      </c>
      <c r="AN66" s="969">
        <f>AJ36</f>
        <v>6964630.5430340329</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793364.43734422559</v>
      </c>
      <c r="D67" s="446">
        <f t="shared" ref="D67:D73" si="26">C67/$C$103</f>
        <v>-7.0254966635589523E-13</v>
      </c>
      <c r="E67" s="295">
        <f>SUM(E68,E71:E73)</f>
        <v>-468051471.97650272</v>
      </c>
      <c r="F67" s="446">
        <f t="shared" ref="F67:F73" si="27">E67/$E$103</f>
        <v>5.0227033263625501E-15</v>
      </c>
      <c r="G67" s="296">
        <f>SUM(G68,G71:G73)</f>
        <v>-4851077346.0296583</v>
      </c>
      <c r="H67" s="446">
        <f t="shared" ref="H67:H73" si="28">G67/$G$103</f>
        <v>3.2155325675393684E-16</v>
      </c>
      <c r="I67" s="296">
        <f>SUM(I68,I71:I73)</f>
        <v>-3215946542.3146725</v>
      </c>
      <c r="J67" s="446">
        <f t="shared" ref="J67:J73" si="29">I67/$I$103</f>
        <v>3.2196149648972318E-16</v>
      </c>
      <c r="K67" s="296">
        <f>SUM(K68,K71:K73)</f>
        <v>-11807566118.426018</v>
      </c>
      <c r="L67" s="461">
        <f t="shared" ref="L67:L73" si="30">K67/$K$103</f>
        <v>3.174062737716101E-16</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1.1531121859776011E-3</v>
      </c>
      <c r="AI67" s="970" t="s">
        <v>4752</v>
      </c>
      <c r="AJ67" s="970">
        <f>AH37</f>
        <v>158641.39520285733</v>
      </c>
      <c r="AK67" s="970" t="s">
        <v>4752</v>
      </c>
      <c r="AL67" s="970">
        <f>AI37</f>
        <v>24004867.559995409</v>
      </c>
      <c r="AM67" s="970" t="s">
        <v>4752</v>
      </c>
      <c r="AN67" s="971">
        <f>AJ37</f>
        <v>6458657051.5652761</v>
      </c>
      <c r="AO67" s="11"/>
      <c r="AP67" s="11"/>
      <c r="AQ67" s="979"/>
      <c r="AR67" s="980" t="s">
        <v>4750</v>
      </c>
      <c r="AS67" s="968">
        <f>AG43</f>
        <v>1.4298454517066895E-3</v>
      </c>
      <c r="AT67" s="980" t="s">
        <v>4750</v>
      </c>
      <c r="AU67" s="968">
        <f>AH43</f>
        <v>1.2122206165196961E-6</v>
      </c>
      <c r="AV67" s="980" t="s">
        <v>4750</v>
      </c>
      <c r="AW67" s="968">
        <f>AI43</f>
        <v>5.1650144893826948E-33</v>
      </c>
      <c r="AX67" s="980" t="s">
        <v>4750</v>
      </c>
      <c r="AY67" s="969">
        <f>AJ43</f>
        <v>8.9604500885737869E-7</v>
      </c>
    </row>
    <row r="68" spans="1:51" ht="12.75" customHeight="1" x14ac:dyDescent="0.3">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58.895616219604307</v>
      </c>
      <c r="AT68" s="980" t="s">
        <v>4751</v>
      </c>
      <c r="AU68" s="968">
        <f>AH44</f>
        <v>-6.227516063423558E+25</v>
      </c>
      <c r="AV68" s="980" t="s">
        <v>4751</v>
      </c>
      <c r="AW68" s="968">
        <f>AI44</f>
        <v>-20496785071.334225</v>
      </c>
      <c r="AX68" s="980" t="s">
        <v>4751</v>
      </c>
      <c r="AY68" s="969">
        <f>AJ44</f>
        <v>6617.9045770642333</v>
      </c>
    </row>
    <row r="69" spans="1:51" ht="12.75" customHeight="1" x14ac:dyDescent="0.3">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8384.5937284044794</v>
      </c>
      <c r="R69" s="979" t="s">
        <v>136</v>
      </c>
      <c r="S69" s="980">
        <f>R4</f>
        <v>1803.0175474691684</v>
      </c>
      <c r="T69" s="979" t="s">
        <v>136</v>
      </c>
      <c r="U69" s="968">
        <f>S4</f>
        <v>58.897048825684145</v>
      </c>
      <c r="V69" s="11"/>
      <c r="W69" s="979" t="s">
        <v>243</v>
      </c>
      <c r="X69" s="968">
        <f>Q16</f>
        <v>326.76569115022767</v>
      </c>
      <c r="Y69" s="979" t="s">
        <v>243</v>
      </c>
      <c r="Z69" s="968">
        <f>R16</f>
        <v>1.6814110987119661</v>
      </c>
      <c r="AA69" s="979" t="s">
        <v>243</v>
      </c>
      <c r="AB69" s="968">
        <f>S16</f>
        <v>1.4319537173320667E-3</v>
      </c>
      <c r="AC69" s="11"/>
      <c r="AD69" s="11"/>
      <c r="AE69" s="11"/>
      <c r="AF69" s="11"/>
      <c r="AG69" s="11"/>
      <c r="AH69" s="11"/>
      <c r="AI69" s="11"/>
      <c r="AJ69" s="11"/>
      <c r="AK69" s="11"/>
      <c r="AL69" s="11"/>
      <c r="AM69" s="11"/>
      <c r="AN69" s="11"/>
      <c r="AO69" s="11"/>
      <c r="AP69" s="11"/>
      <c r="AQ69" s="981"/>
      <c r="AR69" s="982" t="s">
        <v>4752</v>
      </c>
      <c r="AS69" s="970">
        <f>AG45</f>
        <v>2.7606281323730277E-6</v>
      </c>
      <c r="AT69" s="982" t="s">
        <v>4752</v>
      </c>
      <c r="AU69" s="970">
        <f>AH45</f>
        <v>1167794790.9732537</v>
      </c>
      <c r="AV69" s="982" t="s">
        <v>4752</v>
      </c>
      <c r="AW69" s="970">
        <f>AI45</f>
        <v>622195064.56387591</v>
      </c>
      <c r="AX69" s="982" t="s">
        <v>4752</v>
      </c>
      <c r="AY69" s="971">
        <f>AJ45</f>
        <v>209.35759116903111</v>
      </c>
    </row>
    <row r="70" spans="1:51" ht="12.75" customHeight="1" x14ac:dyDescent="0.3">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-1.1292645629149521E+18</v>
      </c>
      <c r="R70" s="979" t="s">
        <v>4744</v>
      </c>
      <c r="S70" s="968">
        <f>R5</f>
        <v>-9.3187162681866797E+22</v>
      </c>
      <c r="T70" s="979" t="s">
        <v>4744</v>
      </c>
      <c r="U70" s="968">
        <f>S5</f>
        <v>-6.227516063423558E+25</v>
      </c>
      <c r="V70" s="11"/>
      <c r="W70" s="979" t="s">
        <v>244</v>
      </c>
      <c r="X70" s="968">
        <f>Q17</f>
        <v>-1.1292645629082534E+18</v>
      </c>
      <c r="Y70" s="979" t="s">
        <v>244</v>
      </c>
      <c r="Z70" s="968">
        <f>R17</f>
        <v>-9.3187162681867267E+22</v>
      </c>
      <c r="AA70" s="979" t="s">
        <v>244</v>
      </c>
      <c r="AB70" s="968">
        <f>S17</f>
        <v>-6.2275160634235605E+25</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1.7002067960093622E-22</v>
      </c>
      <c r="D71" s="446">
        <f t="shared" si="26"/>
        <v>-1.5055876732651443E-40</v>
      </c>
      <c r="E71" s="295">
        <f>M.sd2CS*Molweight</f>
        <v>5.5219333116874633E-24</v>
      </c>
      <c r="F71" s="446">
        <f t="shared" si="27"/>
        <v>-5.9256373439964651E-47</v>
      </c>
      <c r="G71" s="296">
        <f>M.sdMS*Molweight</f>
        <v>5.1599490799245556E-33</v>
      </c>
      <c r="H71" s="446">
        <f t="shared" si="28"/>
        <v>-3.4202679384037937E-58</v>
      </c>
      <c r="I71" s="296">
        <f>M.sdAS*Molweight</f>
        <v>6.4702938499915281E-37</v>
      </c>
      <c r="J71" s="446">
        <f t="shared" si="29"/>
        <v>-6.4776744988184895E-62</v>
      </c>
      <c r="K71" s="296">
        <f>M.sdTS*Molweight</f>
        <v>4.4183800731406409E-36</v>
      </c>
      <c r="L71" s="461">
        <f t="shared" si="30"/>
        <v>-1.1877312742155975E-61</v>
      </c>
      <c r="M71" s="166"/>
      <c r="N71" s="156"/>
      <c r="O71" s="11"/>
      <c r="P71" s="979" t="s">
        <v>4745</v>
      </c>
      <c r="Q71" s="968">
        <f>Q6</f>
        <v>23889677.304795276</v>
      </c>
      <c r="R71" s="979" t="s">
        <v>4745</v>
      </c>
      <c r="S71" s="968">
        <f>R6</f>
        <v>-468049762.36551189</v>
      </c>
      <c r="T71" s="979" t="s">
        <v>4745</v>
      </c>
      <c r="U71" s="968">
        <f>S6</f>
        <v>-19874590006.770348</v>
      </c>
      <c r="V71" s="11"/>
      <c r="W71" s="981" t="s">
        <v>246</v>
      </c>
      <c r="X71" s="970">
        <f>Q18</f>
        <v>6482820560.5216274</v>
      </c>
      <c r="Y71" s="981" t="s">
        <v>246</v>
      </c>
      <c r="Z71" s="970">
        <f>R18</f>
        <v>8511181.7602323927</v>
      </c>
      <c r="AA71" s="981" t="s">
        <v>246</v>
      </c>
      <c r="AB71" s="970">
        <f>S18</f>
        <v>1789990064.8947239</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-115190.2552020204</v>
      </c>
      <c r="D72" s="446">
        <f t="shared" si="26"/>
        <v>1.0200466714960308E-13</v>
      </c>
      <c r="E72" s="295">
        <f>M.sd2CA*Molweight</f>
        <v>-475276272.85551214</v>
      </c>
      <c r="F72" s="446">
        <f t="shared" si="27"/>
        <v>5.1002333280396505E-15</v>
      </c>
      <c r="G72" s="296">
        <f>M.sdMA*Molweight</f>
        <v>-4964135566.9592218</v>
      </c>
      <c r="H72" s="446">
        <f t="shared" si="28"/>
        <v>3.2904731148643067E-16</v>
      </c>
      <c r="I72" s="296">
        <f>M.sdAA*Molweight</f>
        <v>-3263723897.3923073</v>
      </c>
      <c r="J72" s="446">
        <f t="shared" si="29"/>
        <v>3.2674468194903268E-16</v>
      </c>
      <c r="K72" s="296">
        <f>M.sdTA*Molweight</f>
        <v>-12268925606.982695</v>
      </c>
      <c r="L72" s="461">
        <f t="shared" si="30"/>
        <v>3.2980835517121622E-16</v>
      </c>
      <c r="M72" s="166"/>
      <c r="N72" s="156"/>
      <c r="O72" s="11"/>
      <c r="P72" s="981" t="s">
        <v>4746</v>
      </c>
      <c r="Q72" s="970">
        <f>Q7</f>
        <v>6465621694.8889723</v>
      </c>
      <c r="R72" s="981" t="s">
        <v>4746</v>
      </c>
      <c r="S72" s="970">
        <f>R7</f>
        <v>730028.05498977983</v>
      </c>
      <c r="T72" s="981" t="s">
        <v>4746</v>
      </c>
      <c r="U72" s="970">
        <f>S7</f>
        <v>6827.2621691293089</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908554.69254624599</v>
      </c>
      <c r="D73" s="446">
        <f t="shared" si="26"/>
        <v>-8.0455433350549829E-13</v>
      </c>
      <c r="E73" s="295">
        <f>M.sd2CP*Molweight</f>
        <v>7224800.8790094117</v>
      </c>
      <c r="F73" s="446">
        <f t="shared" si="27"/>
        <v>-7.7530001677100572E-17</v>
      </c>
      <c r="G73" s="296">
        <f>M.sdMP*Molweight</f>
        <v>113058220.92956392</v>
      </c>
      <c r="H73" s="446">
        <f t="shared" si="28"/>
        <v>-7.494054732493874E-18</v>
      </c>
      <c r="I73" s="296">
        <f>M.sdAP*Molweight</f>
        <v>47777355.077635005</v>
      </c>
      <c r="J73" s="446">
        <f t="shared" si="29"/>
        <v>-4.7831854593095109E-18</v>
      </c>
      <c r="K73" s="296">
        <f>M.sdTP*Molweight</f>
        <v>461359488.55667698</v>
      </c>
      <c r="L73" s="461">
        <f t="shared" si="30"/>
        <v>-1.240208139960611E-17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23072220.863207366</v>
      </c>
      <c r="D75" s="446">
        <f t="shared" ref="D75:D81" si="31">C75/$C$103</f>
        <v>-2.0431191904437382E-11</v>
      </c>
      <c r="E75" s="295">
        <f>SUM(E76,E79:E81)</f>
        <v>116730.98931366517</v>
      </c>
      <c r="F75" s="446">
        <f t="shared" ref="F75:F81" si="32">E75/$C$103</f>
        <v>-1.0336903664378237E-13</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9.7591482566751972E-2</v>
      </c>
      <c r="D79" s="446">
        <f t="shared" si="31"/>
        <v>-8.6420389280318413E-20</v>
      </c>
      <c r="E79" s="295">
        <f>M.s1CS*Molweight</f>
        <v>2.7511589079409564E-4</v>
      </c>
      <c r="F79" s="446">
        <f t="shared" si="32"/>
        <v>-2.4362394908146759E-22</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500921.04847213993</v>
      </c>
      <c r="D80" s="446">
        <f t="shared" si="31"/>
        <v>-4.4358166173013751E-13</v>
      </c>
      <c r="E80" s="295">
        <f>M.s1CA*Molweight</f>
        <v>53072.360498783622</v>
      </c>
      <c r="F80" s="446">
        <f t="shared" si="32"/>
        <v>-4.6997278181455167E-14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22571299.717143744</v>
      </c>
      <c r="D81" s="446">
        <f t="shared" si="31"/>
        <v>-1.9987610156286856E-11</v>
      </c>
      <c r="E81" s="295">
        <f>M.s1CP*Molweight</f>
        <v>63658.628539765661</v>
      </c>
      <c r="F81" s="446">
        <f t="shared" si="32"/>
        <v>-5.6371758218703257E-14</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6434004207.0393915</v>
      </c>
      <c r="D83" s="446">
        <f t="shared" ref="D83:D89" si="33">C83/$C$103</f>
        <v>-5.6975171764936569E-9</v>
      </c>
      <c r="E83" s="295">
        <f>SUM(E84,E87:E89)</f>
        <v>570063.36593031278</v>
      </c>
      <c r="F83" s="446">
        <f t="shared" ref="F83:F89" si="34">E83/$C$103</f>
        <v>-5.0480940244400135E-13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12.646925347955777</v>
      </c>
      <c r="D87" s="446">
        <f t="shared" si="33"/>
        <v>-1.119925820393078E-17</v>
      </c>
      <c r="E87" s="295">
        <f>M.s2CS*Molweight</f>
        <v>6.1137050082151715E-4</v>
      </c>
      <c r="F87" s="446">
        <f t="shared" si="34"/>
        <v>-5.4138819583317641E-22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6278183.180312952</v>
      </c>
      <c r="D88" s="446">
        <f t="shared" si="33"/>
        <v>-5.5595326574189819E-12</v>
      </c>
      <c r="E88" s="295">
        <f>M.s2CA*Molweight</f>
        <v>259190.42454946396</v>
      </c>
      <c r="F88" s="446">
        <f t="shared" si="34"/>
        <v>-2.2952143771332368E-13</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6427726011.2121534</v>
      </c>
      <c r="D89" s="446">
        <f t="shared" si="33"/>
        <v>-5.6919576326369797E-9</v>
      </c>
      <c r="E89" s="295">
        <f>M.s2CP*Molweight</f>
        <v>310872.94076947827</v>
      </c>
      <c r="F89" s="446">
        <f t="shared" si="34"/>
        <v>-2.7528796418928943E-13</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1.6787608719546332</v>
      </c>
      <c r="AI90" s="980" t="s">
        <v>4750</v>
      </c>
      <c r="AJ90" s="968">
        <f>AH39</f>
        <v>1.6618455913492416E-3</v>
      </c>
      <c r="AK90" s="980" t="s">
        <v>4750</v>
      </c>
      <c r="AL90" s="968">
        <f>AI39</f>
        <v>1.2499347530570215E-22</v>
      </c>
      <c r="AM90" s="980" t="s">
        <v>4750</v>
      </c>
      <c r="AN90" s="969">
        <f>AJ39</f>
        <v>9.8838116598379635E-4</v>
      </c>
    </row>
    <row r="91" spans="1:40" ht="12.75" customHeight="1" x14ac:dyDescent="0.3">
      <c r="A91" s="17"/>
      <c r="B91" s="104" t="s">
        <v>241</v>
      </c>
      <c r="C91" s="295">
        <f>SUM(C92,C95:C97)</f>
        <v>8545266.9863730967</v>
      </c>
      <c r="D91" s="446">
        <f t="shared" ref="D91:D97" si="35">C91/$C$103</f>
        <v>-7.5671081127545844E-12</v>
      </c>
      <c r="E91" s="295">
        <f>SUM(E92,E95:E97)</f>
        <v>43233.699745801903</v>
      </c>
      <c r="F91" s="446">
        <f t="shared" ref="F91:F97" si="36">E91/$C$103</f>
        <v>-3.8284828386586055E-14</v>
      </c>
      <c r="G91" s="296">
        <f>SUM(G92,G95:G97)</f>
        <v>6646.5476634545357</v>
      </c>
      <c r="H91" s="446">
        <f t="shared" ref="H91:H97" si="37">G91/$G$103</f>
        <v>-4.4056585679947413E-22</v>
      </c>
      <c r="I91" s="296">
        <f>SUM(I92,I95:I97)</f>
        <v>149.12998816302053</v>
      </c>
      <c r="J91" s="446">
        <f t="shared" ref="J91:J97" si="38">I91/$I$103</f>
        <v>-1.4930010038631648E-23</v>
      </c>
      <c r="K91" s="296">
        <f>SUM(K92,K95:K97)</f>
        <v>31.584517511753301</v>
      </c>
      <c r="L91" s="461">
        <f t="shared" ref="L91:L97" si="39">K91/$K$103</f>
        <v>-8.4904237772044428E-25</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1801.3386375557113</v>
      </c>
      <c r="AI91" s="980" t="s">
        <v>4751</v>
      </c>
      <c r="AJ91" s="968">
        <f>AH40</f>
        <v>-9.3187162681866797E+22</v>
      </c>
      <c r="AK91" s="980" t="s">
        <v>4751</v>
      </c>
      <c r="AL91" s="968">
        <f>AI40</f>
        <v>-475276272.85551208</v>
      </c>
      <c r="AM91" s="980" t="s">
        <v>4751</v>
      </c>
      <c r="AN91" s="969">
        <f>AJ40</f>
        <v>331919.2148626119</v>
      </c>
    </row>
    <row r="92" spans="1:40" ht="12.75" customHeight="1" x14ac:dyDescent="0.3">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1.4904150249030746E-4</v>
      </c>
      <c r="AI92" s="982" t="s">
        <v>4752</v>
      </c>
      <c r="AJ92" s="970">
        <f>AH41</f>
        <v>886562.4309443786</v>
      </c>
      <c r="AK92" s="982" t="s">
        <v>4752</v>
      </c>
      <c r="AL92" s="970">
        <f>AI41</f>
        <v>7226510.4900001856</v>
      </c>
      <c r="AM92" s="982" t="s">
        <v>4752</v>
      </c>
      <c r="AN92" s="971">
        <f>AJ41</f>
        <v>398108.83913878677</v>
      </c>
    </row>
    <row r="93" spans="1:40" ht="12.75" customHeight="1" x14ac:dyDescent="0.3">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3.6144993543241473E-2</v>
      </c>
      <c r="D95" s="446">
        <f t="shared" si="35"/>
        <v>-3.2007551585303116E-20</v>
      </c>
      <c r="E95" s="295">
        <f>M.s3CS*Molweight</f>
        <v>1.0189477436818356E-4</v>
      </c>
      <c r="F95" s="446">
        <f t="shared" si="36"/>
        <v>-9.023109225239539E-23</v>
      </c>
      <c r="G95" s="296">
        <f>M.sMS*Molweight</f>
        <v>8.9562725952166498E-7</v>
      </c>
      <c r="H95" s="446">
        <f t="shared" si="37"/>
        <v>-5.9366578100945015E-32</v>
      </c>
      <c r="I95" s="296">
        <f>M.sAS*Molweight</f>
        <v>9.5279211905069125E-11</v>
      </c>
      <c r="J95" s="446">
        <f t="shared" si="38"/>
        <v>-9.5387896675789672E-36</v>
      </c>
      <c r="K95" s="296">
        <f>M.sTS*Molweight</f>
        <v>3.2247012380865691E-10</v>
      </c>
      <c r="L95" s="461">
        <f t="shared" si="39"/>
        <v>-8.6685130004099149E-36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185526.31424894065</v>
      </c>
      <c r="D96" s="446">
        <f t="shared" si="35"/>
        <v>-1.6428950434449529E-13</v>
      </c>
      <c r="E96" s="295">
        <f>M.s3CA*Molweight</f>
        <v>19656.429814364299</v>
      </c>
      <c r="F96" s="446">
        <f t="shared" si="36"/>
        <v>-1.7406399326464873E-14</v>
      </c>
      <c r="G96" s="296">
        <f>M.sMA*Molweight</f>
        <v>6437.3059375792636</v>
      </c>
      <c r="H96" s="446">
        <f t="shared" si="37"/>
        <v>-4.2669628647421943E-22</v>
      </c>
      <c r="I96" s="296">
        <f>M.sAA*Molweight</f>
        <v>149.09957213620632</v>
      </c>
      <c r="J96" s="446">
        <f t="shared" si="38"/>
        <v>-1.492696496640127E-23</v>
      </c>
      <c r="K96" s="296">
        <f>M.sTA*Molweight</f>
        <v>31.49906734876334</v>
      </c>
      <c r="L96" s="461">
        <f t="shared" si="39"/>
        <v>-8.4674534058715269E-25</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8359740.6359791635</v>
      </c>
      <c r="D97" s="446">
        <f t="shared" si="35"/>
        <v>-7.4028185764025374E-12</v>
      </c>
      <c r="E97" s="295">
        <f>M.s3CP*Molweight</f>
        <v>23577.269829542831</v>
      </c>
      <c r="F97" s="446">
        <f t="shared" si="36"/>
        <v>-2.0878428969890089E-14</v>
      </c>
      <c r="G97" s="296">
        <f>M.sMP*Molweight</f>
        <v>209.24172497964469</v>
      </c>
      <c r="H97" s="446">
        <f t="shared" si="37"/>
        <v>-1.3869570265888104E-23</v>
      </c>
      <c r="I97" s="296">
        <f>M.sAP*Molweight</f>
        <v>3.0416026718947473E-2</v>
      </c>
      <c r="J97" s="446">
        <f t="shared" si="38"/>
        <v>-3.0450722208384064E-27</v>
      </c>
      <c r="K97" s="296">
        <f>M.sTP*Molweight</f>
        <v>8.5450162667492516E-2</v>
      </c>
      <c r="L97" s="461">
        <f t="shared" si="39"/>
        <v>-2.2970371246231261E-27</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243</v>
      </c>
      <c r="C100" s="459">
        <f>SUM(C15,C23,C31,C39,C47,C55,C71,C79,C87,C95)</f>
        <v>326.76569115022767</v>
      </c>
      <c r="D100" s="446">
        <f>C100/$C$103</f>
        <v>-2.8936150461019509E-16</v>
      </c>
      <c r="E100" s="459">
        <f>SUM(E15,E23,E31,E39,E47,E55,E71,E79,E87,E95)</f>
        <v>1.6814110987119661</v>
      </c>
      <c r="F100" s="446">
        <f>E100/$E$103</f>
        <v>-1.8043376902161463E-23</v>
      </c>
      <c r="G100" s="459">
        <f>SUM(G15,G55,G71,G63,G95)</f>
        <v>1.43104795594817E-3</v>
      </c>
      <c r="H100" s="446">
        <f>G100/$G$103</f>
        <v>-9.4856894249029581E-29</v>
      </c>
      <c r="I100" s="459">
        <f>SUM(I15,I55,I71,I63,I95)</f>
        <v>3.6341166956096325E-7</v>
      </c>
      <c r="J100" s="446">
        <f>I100/$I$103</f>
        <v>-3.6382621238928512E-32</v>
      </c>
      <c r="K100" s="459">
        <f>SUM(K15,K55,K71,K63,K95)</f>
        <v>5.4234971433573824E-7</v>
      </c>
      <c r="L100" s="461">
        <f>K100/$K$103</f>
        <v>-1.4579228283106266E-32</v>
      </c>
      <c r="M100" s="166"/>
      <c r="N100" s="156"/>
    </row>
    <row r="101" spans="1:14" ht="12.75" customHeight="1" x14ac:dyDescent="0.3">
      <c r="A101" s="304"/>
      <c r="B101" s="456" t="s">
        <v>244</v>
      </c>
      <c r="C101" s="459">
        <f>SUM(C16,C24,C32,C40,C48,C56,C72,C80,C88,C96)</f>
        <v>-1.1292645629082534E+18</v>
      </c>
      <c r="D101" s="446">
        <f>C101/$C$103</f>
        <v>1.0000000057407461</v>
      </c>
      <c r="E101" s="459">
        <f>SUM(E16,E24,E32,E40,E48,E56,E72,E80,E88,E96)</f>
        <v>-9.3187162681867267E+22</v>
      </c>
      <c r="F101" s="446">
        <f>E101/$E$103</f>
        <v>1.0000000000000002</v>
      </c>
      <c r="G101" s="459">
        <f>SUM(G16,G56,G64,G72,G96)</f>
        <v>-1.508638847263134E+25</v>
      </c>
      <c r="H101" s="446">
        <f>G101/$G$103</f>
        <v>1</v>
      </c>
      <c r="I101" s="459">
        <f>SUM(I16,I56,I64,I72,I96)</f>
        <v>-9.9886060208361701E+24</v>
      </c>
      <c r="J101" s="446">
        <f>I101/$I$103</f>
        <v>1</v>
      </c>
      <c r="K101" s="459">
        <f>SUM(K16,K56,K64,K72,K96)</f>
        <v>-3.7200166140768091E+25</v>
      </c>
      <c r="L101" s="461">
        <f>K101/$K$103</f>
        <v>1</v>
      </c>
      <c r="M101" s="166"/>
      <c r="N101" s="156"/>
    </row>
    <row r="102" spans="1:14" ht="12.75" customHeight="1" x14ac:dyDescent="0.3">
      <c r="A102" s="304"/>
      <c r="B102" s="456" t="s">
        <v>246</v>
      </c>
      <c r="C102" s="459">
        <f>SUM(C17,C25,C33,C41,C49,C57,C73,C81,C89,C97)</f>
        <v>6482820560.5216274</v>
      </c>
      <c r="D102" s="446">
        <f>C102/$C$103</f>
        <v>-5.7407456238973007E-9</v>
      </c>
      <c r="E102" s="459">
        <f>SUM(E17,E25,E33,E41,E49,E57,E73,E81,E89,E97)</f>
        <v>8511181.7602323927</v>
      </c>
      <c r="F102" s="446">
        <f>E102/$E$103</f>
        <v>-9.1334273040255734E-17</v>
      </c>
      <c r="G102" s="459">
        <f>SUM(G17,G57,G65,G73,G97)</f>
        <v>325619265.17356759</v>
      </c>
      <c r="H102" s="446">
        <f>G102/$G$103</f>
        <v>-2.1583645798613966E-17</v>
      </c>
      <c r="I102" s="459">
        <f>SUM(I17,I57,I65,I73,I97)</f>
        <v>137960128.69839218</v>
      </c>
      <c r="J102" s="446">
        <f>I102/$I$103</f>
        <v>-1.3811749948952657E-17</v>
      </c>
      <c r="K102" s="459">
        <f>SUM(K17,K57,K65,K73,K97)</f>
        <v>1326410671.0227642</v>
      </c>
      <c r="L102" s="461">
        <f>K102/$K$103</f>
        <v>-3.565604158872655E-17</v>
      </c>
      <c r="M102" s="166"/>
      <c r="N102" s="156"/>
    </row>
    <row r="103" spans="1:14" ht="12.75" customHeight="1" thickBot="1" x14ac:dyDescent="0.35">
      <c r="A103" s="304"/>
      <c r="B103" s="482" t="s">
        <v>247</v>
      </c>
      <c r="C103" s="485">
        <f>SUM(C99:C102)</f>
        <v>-1.1292645564254324E+18</v>
      </c>
      <c r="D103" s="485"/>
      <c r="E103" s="485">
        <f>SUM(E99:E102)</f>
        <v>-9.318716268186725E+22</v>
      </c>
      <c r="F103" s="485"/>
      <c r="G103" s="485">
        <f>SUM(G99:G102)</f>
        <v>-1.508638847263134E+25</v>
      </c>
      <c r="H103" s="485"/>
      <c r="I103" s="485">
        <f>SUM(I99:I102)</f>
        <v>-9.9886060208361701E+24</v>
      </c>
      <c r="J103" s="485"/>
      <c r="K103" s="485">
        <f>SUM(K99:K102)</f>
        <v>-3.7200166140768091E+25</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2024-06-18T13:28:21Z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