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17" documentId="8_{639EF9CC-B8BE-4F67-A682-B7996E985231}" xr6:coauthVersionLast="47" xr6:coauthVersionMax="47" xr10:uidLastSave="{E27B763A-5FD7-4BFC-BC86-45CC5958967A}"/>
  <bookViews>
    <workbookView xWindow="32790" yWindow="-18255" windowWidth="25440" windowHeight="15390" tabRatio="704" activeTab="6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cases!$J$3:$R$1017</definedName>
    <definedName name="CaseName">input!$L$10</definedName>
    <definedName name="CaseNames">cases!$J$3:$R$3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103" i="7" l="1"/>
  <c r="J177" i="6"/>
  <c r="J180" i="7"/>
  <c r="J176" i="6"/>
  <c r="J181" i="6"/>
  <c r="J180" i="6"/>
  <c r="J179" i="6"/>
  <c r="J178" i="6"/>
  <c r="J179" i="7"/>
  <c r="J183" i="6"/>
  <c r="J175" i="6"/>
  <c r="J182" i="6"/>
  <c r="J171" i="6"/>
  <c r="J170" i="6"/>
  <c r="J169" i="6"/>
  <c r="J178" i="7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L203" i="8"/>
  <c r="B881" i="22" l="1"/>
  <c r="K60" i="7"/>
  <c r="L60" i="7" s="1"/>
  <c r="B885" i="22" s="1"/>
  <c r="B497" i="22"/>
  <c r="F12" i="1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72" i="22" s="1"/>
  <c r="K58" i="7"/>
  <c r="L58" i="7" s="1"/>
  <c r="P12" i="11" s="1"/>
  <c r="B506" i="22"/>
  <c r="L52" i="6"/>
  <c r="L306" i="8"/>
  <c r="K169" i="8"/>
  <c r="B408" i="22"/>
  <c r="K61" i="7" l="1"/>
  <c r="L61" i="7" s="1"/>
  <c r="B505" i="22" s="1"/>
  <c r="B516" i="22"/>
  <c r="K51" i="6"/>
  <c r="L51" i="6" s="1"/>
  <c r="G21" i="11" s="1"/>
  <c r="B880" i="22"/>
  <c r="K47" i="6"/>
  <c r="L47" i="6" s="1"/>
  <c r="B485" i="22"/>
  <c r="B435" i="22"/>
  <c r="K305" i="8"/>
  <c r="K35" i="8" l="1"/>
  <c r="L35" i="8" s="1"/>
  <c r="K59" i="7"/>
  <c r="L59" i="7" s="1"/>
  <c r="P28" i="11" s="1"/>
  <c r="B883" i="22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 s="1"/>
  <c r="K136" i="6" s="1"/>
  <c r="L136" i="6" s="1"/>
  <c r="J19" i="3"/>
  <c r="J14" i="3"/>
  <c r="L14" i="3" s="1"/>
  <c r="J35" i="3"/>
  <c r="L35" i="3" s="1"/>
  <c r="J37" i="3"/>
  <c r="L37" i="3" s="1"/>
  <c r="J39" i="3"/>
  <c r="L39" i="3" s="1"/>
  <c r="J22" i="3"/>
  <c r="L22" i="3" s="1"/>
  <c r="J66" i="6"/>
  <c r="J17" i="3"/>
  <c r="J20" i="3"/>
  <c r="L20" i="3" s="1"/>
  <c r="J43" i="3" s="1"/>
  <c r="J60" i="6"/>
  <c r="J66" i="3"/>
  <c r="L66" i="3" s="1"/>
  <c r="J108" i="6"/>
  <c r="J126" i="6"/>
  <c r="J62" i="6"/>
  <c r="J75" i="3"/>
  <c r="L75" i="3" s="1"/>
  <c r="J127" i="6"/>
  <c r="J128" i="6"/>
  <c r="J109" i="6"/>
  <c r="J110" i="6"/>
  <c r="J111" i="6"/>
  <c r="J112" i="6"/>
  <c r="J113" i="6"/>
  <c r="J72" i="6"/>
  <c r="J78" i="6"/>
  <c r="J70" i="3"/>
  <c r="L70" i="3" s="1"/>
  <c r="J74" i="3"/>
  <c r="L74" i="3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7" i="8"/>
  <c r="L97" i="8" s="1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A6" i="2"/>
  <c r="J6" i="2"/>
  <c r="E6" i="2"/>
  <c r="BQ12" i="23"/>
  <c r="Y6" i="2"/>
  <c r="Z6" i="2"/>
  <c r="L6" i="2"/>
  <c r="I6" i="2"/>
  <c r="U6" i="2"/>
  <c r="F6" i="2"/>
  <c r="O6" i="2"/>
  <c r="B6" i="2"/>
  <c r="V6" i="2"/>
  <c r="H6" i="2"/>
  <c r="R6" i="2"/>
  <c r="K6" i="2"/>
  <c r="X6" i="2"/>
  <c r="N6" i="2"/>
  <c r="G6" i="2"/>
  <c r="D6" i="2"/>
  <c r="BP12" i="23"/>
  <c r="Q6" i="2"/>
  <c r="C6" i="2"/>
  <c r="W6" i="2"/>
  <c r="T6" i="2"/>
  <c r="S6" i="2"/>
  <c r="P6" i="2"/>
  <c r="M6" i="2"/>
  <c r="B208" i="22"/>
  <c r="B209" i="22"/>
  <c r="K156" i="3"/>
  <c r="L156" i="3" s="1"/>
  <c r="B701" i="22"/>
  <c r="B695" i="22"/>
  <c r="K155" i="3"/>
  <c r="L155" i="3"/>
  <c r="B700" i="22"/>
  <c r="B696" i="22"/>
  <c r="B699" i="22"/>
  <c r="B694" i="22"/>
  <c r="B702" i="22"/>
  <c r="B693" i="22"/>
  <c r="B698" i="22"/>
  <c r="B697" i="22"/>
  <c r="J63" i="3"/>
  <c r="J52" i="3"/>
  <c r="I64" i="3"/>
  <c r="I48" i="3"/>
  <c r="I46" i="3"/>
  <c r="I53" i="3"/>
  <c r="J57" i="3"/>
  <c r="I52" i="3"/>
  <c r="J47" i="3"/>
  <c r="I43" i="3"/>
  <c r="J61" i="3"/>
  <c r="J64" i="3"/>
  <c r="I60" i="3"/>
  <c r="I55" i="3"/>
  <c r="J42" i="3"/>
  <c r="J59" i="3"/>
  <c r="J58" i="3"/>
  <c r="J50" i="3"/>
  <c r="I56" i="3"/>
  <c r="J55" i="3"/>
  <c r="I51" i="3"/>
  <c r="J62" i="3"/>
  <c r="I47" i="3"/>
  <c r="I57" i="3"/>
  <c r="I63" i="3"/>
  <c r="J46" i="3"/>
  <c r="I42" i="3"/>
  <c r="K37" i="3"/>
  <c r="I54" i="3"/>
  <c r="I61" i="3"/>
  <c r="J60" i="3"/>
  <c r="I59" i="3"/>
  <c r="I49" i="3"/>
  <c r="I58" i="3"/>
  <c r="I50" i="3"/>
  <c r="J49" i="3"/>
  <c r="J56" i="3"/>
  <c r="I62" i="3"/>
  <c r="C5" i="23"/>
  <c r="BO12" i="23"/>
  <c r="K6" i="3"/>
  <c r="BO5" i="23"/>
  <c r="AY132" i="23"/>
  <c r="AY67" i="23"/>
  <c r="I17" i="18"/>
  <c r="F5" i="20"/>
  <c r="AB5" i="23"/>
  <c r="P17" i="3"/>
  <c r="AY3" i="23"/>
  <c r="BN12" i="23"/>
  <c r="J54" i="3" l="1"/>
  <c r="J53" i="3"/>
  <c r="J48" i="3"/>
  <c r="J51" i="3"/>
  <c r="L81" i="3"/>
  <c r="I8" i="16" s="1"/>
  <c r="K137" i="8"/>
  <c r="L137" i="8" s="1"/>
  <c r="K126" i="8" s="1"/>
  <c r="L126" i="8" s="1"/>
  <c r="B459" i="22"/>
  <c r="K273" i="8"/>
  <c r="L273" i="8" s="1"/>
  <c r="K262" i="8" s="1"/>
  <c r="L262" i="8" s="1"/>
  <c r="B471" i="22"/>
  <c r="B567" i="22"/>
  <c r="K208" i="6"/>
  <c r="L208" i="6" s="1"/>
  <c r="K192" i="6" s="1"/>
  <c r="L192" i="6" s="1"/>
  <c r="AC13" i="23"/>
  <c r="AS28" i="23" s="1"/>
  <c r="B467" i="22"/>
  <c r="B461" i="22"/>
  <c r="K96" i="8"/>
  <c r="L96" i="8" s="1"/>
  <c r="K142" i="7"/>
  <c r="L142" i="7" s="1"/>
  <c r="B469" i="22"/>
  <c r="B463" i="22"/>
  <c r="K409" i="8"/>
  <c r="L409" i="8" s="1"/>
  <c r="K398" i="8" s="1"/>
  <c r="L398" i="8" s="1"/>
  <c r="B568" i="22"/>
  <c r="K233" i="8"/>
  <c r="L233" i="8" s="1"/>
  <c r="B563" i="22"/>
  <c r="B566" i="22"/>
  <c r="B465" i="22"/>
  <c r="B562" i="22"/>
  <c r="B565" i="22"/>
  <c r="B564" i="22"/>
  <c r="L89" i="3"/>
  <c r="AC23" i="23" s="1"/>
  <c r="AS92" i="23" s="1"/>
  <c r="K232" i="8"/>
  <c r="L232" i="8" s="1"/>
  <c r="K213" i="7"/>
  <c r="L213" i="7" s="1"/>
  <c r="K197" i="7" s="1"/>
  <c r="L197" i="7" s="1"/>
  <c r="B335" i="22"/>
  <c r="B333" i="22"/>
  <c r="B332" i="22"/>
  <c r="B338" i="22"/>
  <c r="B334" i="22"/>
  <c r="K31" i="3"/>
  <c r="L31" i="3" s="1"/>
  <c r="B336" i="22"/>
  <c r="B330" i="22"/>
  <c r="B337" i="22"/>
  <c r="B331" i="22"/>
  <c r="B328" i="22"/>
  <c r="B339" i="22"/>
  <c r="B329" i="22"/>
  <c r="K209" i="6"/>
  <c r="L209" i="6" s="1"/>
  <c r="B691" i="22" s="1"/>
  <c r="K216" i="7"/>
  <c r="L216" i="7" s="1"/>
  <c r="K410" i="8"/>
  <c r="L410" i="8" s="1"/>
  <c r="B557" i="22"/>
  <c r="B559" i="22"/>
  <c r="K210" i="6"/>
  <c r="L210" i="6" s="1"/>
  <c r="K215" i="7"/>
  <c r="L215" i="7" s="1"/>
  <c r="B569" i="22"/>
  <c r="B560" i="22"/>
  <c r="K211" i="6"/>
  <c r="L211" i="6" s="1"/>
  <c r="K217" i="7"/>
  <c r="L217" i="7" s="1"/>
  <c r="K274" i="8"/>
  <c r="L274" i="8" s="1"/>
  <c r="B688" i="22" s="1"/>
  <c r="B570" i="22"/>
  <c r="K138" i="8"/>
  <c r="L138" i="8" s="1"/>
  <c r="B690" i="22" s="1"/>
  <c r="B556" i="22"/>
  <c r="B558" i="22"/>
  <c r="B561" i="22"/>
  <c r="B555" i="22"/>
  <c r="K62" i="3"/>
  <c r="L60" i="3"/>
  <c r="K53" i="3"/>
  <c r="L54" i="3"/>
  <c r="K42" i="3"/>
  <c r="K49" i="3"/>
  <c r="L46" i="3"/>
  <c r="K58" i="3"/>
  <c r="K60" i="3"/>
  <c r="L48" i="3"/>
  <c r="L47" i="3"/>
  <c r="K46" i="3"/>
  <c r="L51" i="3"/>
  <c r="L59" i="3"/>
  <c r="K56" i="3"/>
  <c r="K43" i="3"/>
  <c r="K55" i="3"/>
  <c r="K47" i="3"/>
  <c r="L42" i="3"/>
  <c r="L62" i="3"/>
  <c r="K64" i="3"/>
  <c r="L50" i="3"/>
  <c r="L53" i="3"/>
  <c r="L57" i="3"/>
  <c r="L63" i="3"/>
  <c r="L58" i="3"/>
  <c r="K61" i="3"/>
  <c r="L55" i="3"/>
  <c r="L52" i="3"/>
  <c r="L61" i="3"/>
  <c r="K54" i="3"/>
  <c r="K59" i="3"/>
  <c r="K52" i="3"/>
  <c r="K50" i="3"/>
  <c r="K51" i="3"/>
  <c r="B401" i="22"/>
  <c r="L49" i="3"/>
  <c r="L64" i="3"/>
  <c r="K48" i="3"/>
  <c r="K57" i="3"/>
  <c r="L56" i="3"/>
  <c r="K63" i="3"/>
  <c r="L101" i="3"/>
  <c r="L98" i="3"/>
  <c r="K143" i="7"/>
  <c r="L143" i="7" s="1"/>
  <c r="L80" i="3"/>
  <c r="K24" i="3"/>
  <c r="L24" i="3" s="1"/>
  <c r="K36" i="3"/>
  <c r="L36" i="3" s="1"/>
  <c r="O445" i="18" s="1"/>
  <c r="K137" i="6"/>
  <c r="L137" i="6" s="1"/>
  <c r="K236" i="8"/>
  <c r="L236" i="8" s="1"/>
  <c r="K32" i="3"/>
  <c r="L32" i="3" s="1"/>
  <c r="I44" i="3"/>
  <c r="K17" i="3" s="1"/>
  <c r="L17" i="3" s="1"/>
  <c r="K21" i="3"/>
  <c r="L21" i="3" s="1"/>
  <c r="L82" i="3"/>
  <c r="L92" i="3"/>
  <c r="L102" i="3"/>
  <c r="L85" i="3"/>
  <c r="L96" i="3"/>
  <c r="L106" i="3"/>
  <c r="L90" i="3"/>
  <c r="L100" i="3"/>
  <c r="L83" i="3"/>
  <c r="L93" i="3"/>
  <c r="L104" i="3"/>
  <c r="L86" i="3"/>
  <c r="L97" i="3"/>
  <c r="L84" i="3"/>
  <c r="L94" i="3"/>
  <c r="L105" i="3"/>
  <c r="K44" i="3"/>
  <c r="K19" i="3" s="1"/>
  <c r="L19" i="3" s="1"/>
  <c r="K71" i="7" s="1"/>
  <c r="L71" i="7" s="1"/>
  <c r="L91" i="3"/>
  <c r="K207" i="6"/>
  <c r="L207" i="6" s="1"/>
  <c r="K214" i="7"/>
  <c r="L214" i="7" s="1"/>
  <c r="L88" i="3"/>
  <c r="K27" i="3"/>
  <c r="L27" i="3" s="1"/>
  <c r="K34" i="3"/>
  <c r="L34" i="3" s="1"/>
  <c r="K25" i="3"/>
  <c r="L25" i="3" s="1"/>
  <c r="K23" i="3"/>
  <c r="L23" i="3" s="1"/>
  <c r="K26" i="3"/>
  <c r="L26" i="3" s="1"/>
  <c r="K28" i="3"/>
  <c r="L28" i="3" s="1"/>
  <c r="J44" i="3"/>
  <c r="K18" i="3" s="1"/>
  <c r="L18" i="3" s="1"/>
  <c r="K33" i="3"/>
  <c r="L33" i="3" s="1"/>
  <c r="K30" i="3"/>
  <c r="L30" i="3" s="1"/>
  <c r="K29" i="3"/>
  <c r="L29" i="3" s="1"/>
  <c r="K100" i="8" l="1"/>
  <c r="L100" i="8" s="1"/>
  <c r="K142" i="6"/>
  <c r="L142" i="6" s="1"/>
  <c r="M788" i="18"/>
  <c r="M650" i="18"/>
  <c r="M786" i="18"/>
  <c r="P924" i="18"/>
  <c r="Q445" i="18"/>
  <c r="B723" i="22"/>
  <c r="O652" i="18"/>
  <c r="O650" i="18"/>
  <c r="N650" i="18"/>
  <c r="O220" i="18"/>
  <c r="Q652" i="18"/>
  <c r="O788" i="18"/>
  <c r="Q222" i="18"/>
  <c r="Q924" i="18"/>
  <c r="P220" i="18"/>
  <c r="M924" i="18"/>
  <c r="P652" i="18"/>
  <c r="P650" i="18"/>
  <c r="K372" i="8"/>
  <c r="L372" i="8" s="1"/>
  <c r="B692" i="22"/>
  <c r="P786" i="18"/>
  <c r="Q788" i="18"/>
  <c r="P447" i="18"/>
  <c r="M220" i="18"/>
  <c r="M652" i="18"/>
  <c r="O222" i="18"/>
  <c r="M445" i="18"/>
  <c r="Q650" i="18"/>
  <c r="O786" i="18"/>
  <c r="M922" i="18"/>
  <c r="O447" i="18"/>
  <c r="B724" i="22"/>
  <c r="M447" i="18"/>
  <c r="N220" i="18"/>
  <c r="B722" i="22"/>
  <c r="B725" i="22"/>
  <c r="O924" i="18"/>
  <c r="N788" i="18"/>
  <c r="N222" i="18"/>
  <c r="P788" i="18"/>
  <c r="Q447" i="18"/>
  <c r="D5" i="11"/>
  <c r="AC12" i="23"/>
  <c r="AS11" i="23" s="1"/>
  <c r="I7" i="16"/>
  <c r="Q220" i="18"/>
  <c r="Q922" i="18"/>
  <c r="M222" i="18"/>
  <c r="B689" i="22"/>
  <c r="K148" i="7"/>
  <c r="L148" i="7" s="1"/>
  <c r="P222" i="18"/>
  <c r="Z5" i="11"/>
  <c r="I25" i="16"/>
  <c r="AC36" i="23"/>
  <c r="AX161" i="23" s="1"/>
  <c r="N924" i="18"/>
  <c r="P445" i="18"/>
  <c r="B721" i="22"/>
  <c r="N652" i="18"/>
  <c r="Q786" i="18"/>
  <c r="N786" i="18"/>
  <c r="N447" i="18"/>
  <c r="N445" i="18"/>
  <c r="AB5" i="11"/>
  <c r="I28" i="16"/>
  <c r="AC39" i="23"/>
  <c r="AZ149" i="23" s="1"/>
  <c r="N922" i="18"/>
  <c r="O922" i="18"/>
  <c r="P922" i="18"/>
  <c r="K104" i="7"/>
  <c r="L104" i="7" s="1"/>
  <c r="K75" i="3"/>
  <c r="B618" i="22"/>
  <c r="B619" i="22"/>
  <c r="K74" i="3"/>
  <c r="B617" i="22"/>
  <c r="K98" i="6"/>
  <c r="L98" i="6" s="1"/>
  <c r="L5" i="11"/>
  <c r="AC20" i="23"/>
  <c r="I13" i="16"/>
  <c r="K103" i="6"/>
  <c r="L103" i="6" s="1"/>
  <c r="K109" i="7"/>
  <c r="L109" i="7" s="1"/>
  <c r="B620" i="22"/>
  <c r="K198" i="7"/>
  <c r="L198" i="7" s="1"/>
  <c r="AF5" i="11"/>
  <c r="AC44" i="23"/>
  <c r="I31" i="16"/>
  <c r="AE5" i="11"/>
  <c r="AC42" i="23"/>
  <c r="I29" i="16"/>
  <c r="K66" i="8"/>
  <c r="L66" i="8" s="1"/>
  <c r="K94" i="7"/>
  <c r="L94" i="7" s="1"/>
  <c r="K88" i="6"/>
  <c r="L88" i="6" s="1"/>
  <c r="K202" i="8"/>
  <c r="L202" i="8" s="1"/>
  <c r="K338" i="8"/>
  <c r="L338" i="8" s="1"/>
  <c r="B624" i="22"/>
  <c r="B626" i="22"/>
  <c r="B627" i="22"/>
  <c r="B628" i="22"/>
  <c r="B625" i="22"/>
  <c r="K188" i="8"/>
  <c r="L188" i="8" s="1"/>
  <c r="G5" i="11"/>
  <c r="AC15" i="23"/>
  <c r="I10" i="16"/>
  <c r="F5" i="11"/>
  <c r="AC14" i="23"/>
  <c r="I9" i="16"/>
  <c r="S5" i="11"/>
  <c r="AC28" i="23"/>
  <c r="I19" i="16"/>
  <c r="K91" i="7"/>
  <c r="L91" i="7" s="1"/>
  <c r="K85" i="6"/>
  <c r="L85" i="6" s="1"/>
  <c r="B622" i="22"/>
  <c r="B623" i="22"/>
  <c r="P5" i="11"/>
  <c r="AC25" i="23"/>
  <c r="I18" i="16"/>
  <c r="AG5" i="11"/>
  <c r="AC45" i="23"/>
  <c r="I32" i="16"/>
  <c r="AA5" i="11"/>
  <c r="AC38" i="23"/>
  <c r="I27" i="16"/>
  <c r="K69" i="7"/>
  <c r="L69" i="7" s="1"/>
  <c r="K185" i="8"/>
  <c r="L185" i="8" s="1"/>
  <c r="K324" i="8"/>
  <c r="L324" i="8" s="1"/>
  <c r="K49" i="8"/>
  <c r="L49" i="8" s="1"/>
  <c r="K63" i="6"/>
  <c r="L63" i="6" s="1"/>
  <c r="K321" i="8"/>
  <c r="L321" i="8" s="1"/>
  <c r="B546" i="22"/>
  <c r="B547" i="22"/>
  <c r="B548" i="22"/>
  <c r="B537" i="22"/>
  <c r="B536" i="22"/>
  <c r="B539" i="22"/>
  <c r="B549" i="22"/>
  <c r="B538" i="22"/>
  <c r="B545" i="22"/>
  <c r="B535" i="22"/>
  <c r="K76" i="6"/>
  <c r="L76" i="6" s="1"/>
  <c r="K82" i="7"/>
  <c r="L82" i="7" s="1"/>
  <c r="K88" i="7"/>
  <c r="L88" i="7" s="1"/>
  <c r="K61" i="8"/>
  <c r="L61" i="8" s="1"/>
  <c r="K70" i="6"/>
  <c r="L70" i="6" s="1"/>
  <c r="K76" i="7"/>
  <c r="L76" i="7" s="1"/>
  <c r="K62" i="8"/>
  <c r="L62" i="8" s="1"/>
  <c r="K197" i="8"/>
  <c r="L197" i="8" s="1"/>
  <c r="K82" i="6"/>
  <c r="L82" i="6" s="1"/>
  <c r="K333" i="8"/>
  <c r="L333" i="8" s="1"/>
  <c r="K334" i="8"/>
  <c r="L334" i="8" s="1"/>
  <c r="K198" i="8"/>
  <c r="L198" i="8" s="1"/>
  <c r="B608" i="22"/>
  <c r="B606" i="22"/>
  <c r="B605" i="22"/>
  <c r="B603" i="22"/>
  <c r="B604" i="22"/>
  <c r="B610" i="22"/>
  <c r="M5" i="11"/>
  <c r="AC22" i="23"/>
  <c r="I15" i="16"/>
  <c r="I16" i="16"/>
  <c r="U5" i="11"/>
  <c r="I21" i="16"/>
  <c r="AC30" i="23"/>
  <c r="O5" i="11"/>
  <c r="AC24" i="23"/>
  <c r="I17" i="16"/>
  <c r="K52" i="8"/>
  <c r="L52" i="8" s="1"/>
  <c r="K5" i="11"/>
  <c r="AC19" i="23"/>
  <c r="I12" i="16"/>
  <c r="T5" i="11"/>
  <c r="AC29" i="23"/>
  <c r="I20" i="16"/>
  <c r="K79" i="7"/>
  <c r="L79" i="7" s="1"/>
  <c r="K73" i="7"/>
  <c r="L73" i="7" s="1"/>
  <c r="K73" i="6"/>
  <c r="L73" i="6" s="1"/>
  <c r="K67" i="6"/>
  <c r="L67" i="6" s="1"/>
  <c r="B634" i="22"/>
  <c r="B632" i="22"/>
  <c r="B631" i="22"/>
  <c r="B633" i="22"/>
  <c r="J5" i="11"/>
  <c r="AC18" i="23"/>
  <c r="I11" i="16"/>
  <c r="AJ5" i="11"/>
  <c r="AC48" i="23"/>
  <c r="I33" i="16"/>
  <c r="K65" i="6"/>
  <c r="L65" i="6" s="1"/>
  <c r="K85" i="7"/>
  <c r="L85" i="7" s="1"/>
  <c r="K191" i="8"/>
  <c r="L191" i="8" s="1"/>
  <c r="K192" i="8"/>
  <c r="L192" i="8" s="1"/>
  <c r="K79" i="6"/>
  <c r="L79" i="6" s="1"/>
  <c r="K56" i="8"/>
  <c r="L56" i="8" s="1"/>
  <c r="K55" i="8"/>
  <c r="L55" i="8" s="1"/>
  <c r="K328" i="8"/>
  <c r="L328" i="8" s="1"/>
  <c r="K327" i="8"/>
  <c r="L327" i="8" s="1"/>
  <c r="B640" i="22"/>
  <c r="B637" i="22"/>
  <c r="B638" i="22"/>
  <c r="B636" i="22"/>
  <c r="B642" i="22"/>
  <c r="B635" i="22"/>
  <c r="B639" i="22"/>
  <c r="B641" i="22"/>
  <c r="K191" i="6"/>
  <c r="L191" i="6" s="1"/>
  <c r="K93" i="6"/>
  <c r="L93" i="6" s="1"/>
  <c r="K99" i="7"/>
  <c r="L99" i="7" s="1"/>
  <c r="K71" i="8"/>
  <c r="L71" i="8" s="1"/>
  <c r="K343" i="8"/>
  <c r="L343" i="8" s="1"/>
  <c r="K207" i="8"/>
  <c r="L207" i="8" s="1"/>
  <c r="B616" i="22"/>
  <c r="B629" i="22"/>
  <c r="B621" i="22"/>
  <c r="B615" i="22"/>
  <c r="B630" i="22"/>
  <c r="W5" i="11"/>
  <c r="AC33" i="23"/>
  <c r="I24" i="16"/>
  <c r="V5" i="11"/>
  <c r="AC32" i="23"/>
  <c r="I23" i="16"/>
  <c r="Z91" i="11" l="1"/>
  <c r="AC15" i="20"/>
  <c r="D91" i="11"/>
  <c r="G15" i="20"/>
  <c r="AB91" i="11"/>
  <c r="AE15" i="20"/>
  <c r="BJ161" i="23"/>
  <c r="AS94" i="23"/>
  <c r="S91" i="11"/>
  <c r="V15" i="20"/>
  <c r="AC49" i="23"/>
  <c r="AS29" i="23"/>
  <c r="K54" i="8"/>
  <c r="L54" i="8" s="1"/>
  <c r="B762" i="22" s="1"/>
  <c r="M658" i="18"/>
  <c r="Q658" i="18"/>
  <c r="B368" i="22"/>
  <c r="P658" i="18"/>
  <c r="O658" i="18"/>
  <c r="N658" i="18"/>
  <c r="AJ91" i="11"/>
  <c r="AM15" i="20"/>
  <c r="K78" i="7"/>
  <c r="L78" i="7" s="1"/>
  <c r="B757" i="22" s="1"/>
  <c r="M457" i="18"/>
  <c r="Q457" i="18"/>
  <c r="P457" i="18"/>
  <c r="B360" i="22"/>
  <c r="N457" i="18"/>
  <c r="O457" i="18"/>
  <c r="K340" i="8"/>
  <c r="L340" i="8" s="1"/>
  <c r="K323" i="8"/>
  <c r="L323" i="8" s="1"/>
  <c r="K320" i="8" s="1"/>
  <c r="L320" i="8" s="1"/>
  <c r="K342" i="8"/>
  <c r="L342" i="8" s="1"/>
  <c r="K341" i="8"/>
  <c r="L341" i="8" s="1"/>
  <c r="B357" i="22"/>
  <c r="B544" i="22"/>
  <c r="B348" i="22"/>
  <c r="B658" i="22"/>
  <c r="B827" i="22"/>
  <c r="P91" i="11"/>
  <c r="S15" i="20"/>
  <c r="F91" i="11"/>
  <c r="I15" i="20"/>
  <c r="K78" i="6"/>
  <c r="L78" i="6" s="1"/>
  <c r="K135" i="6" s="1"/>
  <c r="L135" i="6" s="1"/>
  <c r="K116" i="6" s="1"/>
  <c r="L116" i="6" s="1"/>
  <c r="Q238" i="18"/>
  <c r="N238" i="18"/>
  <c r="O238" i="18"/>
  <c r="M238" i="18"/>
  <c r="B365" i="22"/>
  <c r="P238" i="18"/>
  <c r="K100" i="6"/>
  <c r="L100" i="6" s="1"/>
  <c r="K140" i="6" s="1"/>
  <c r="L140" i="6" s="1"/>
  <c r="K119" i="6" s="1"/>
  <c r="L119" i="6" s="1"/>
  <c r="K64" i="6"/>
  <c r="L64" i="6" s="1"/>
  <c r="K95" i="6"/>
  <c r="L95" i="6" s="1"/>
  <c r="B822" i="22" s="1"/>
  <c r="K90" i="6"/>
  <c r="L90" i="6" s="1"/>
  <c r="K138" i="6" s="1"/>
  <c r="L138" i="6" s="1"/>
  <c r="K117" i="6" s="1"/>
  <c r="L117" i="6" s="1"/>
  <c r="K91" i="6"/>
  <c r="L91" i="6" s="1"/>
  <c r="K97" i="6"/>
  <c r="L97" i="6" s="1"/>
  <c r="B543" i="22"/>
  <c r="K96" i="6"/>
  <c r="L96" i="6" s="1"/>
  <c r="B644" i="22"/>
  <c r="K102" i="6"/>
  <c r="L102" i="6" s="1"/>
  <c r="B648" i="22"/>
  <c r="B350" i="22"/>
  <c r="B345" i="22"/>
  <c r="B354" i="22"/>
  <c r="B352" i="22"/>
  <c r="B646" i="22"/>
  <c r="B341" i="22"/>
  <c r="B343" i="22"/>
  <c r="K101" i="6"/>
  <c r="L101" i="6" s="1"/>
  <c r="K92" i="6"/>
  <c r="L92" i="6" s="1"/>
  <c r="K190" i="8"/>
  <c r="L190" i="8" s="1"/>
  <c r="B761" i="22" s="1"/>
  <c r="P794" i="18"/>
  <c r="N794" i="18"/>
  <c r="Q794" i="18"/>
  <c r="B367" i="22"/>
  <c r="O794" i="18"/>
  <c r="M794" i="18"/>
  <c r="BJ36" i="23"/>
  <c r="BJ98" i="23"/>
  <c r="AS75" i="23"/>
  <c r="K68" i="8"/>
  <c r="L68" i="8" s="1"/>
  <c r="K51" i="8"/>
  <c r="L51" i="8" s="1"/>
  <c r="K48" i="8" s="1"/>
  <c r="L48" i="8" s="1"/>
  <c r="K69" i="8"/>
  <c r="L69" i="8" s="1"/>
  <c r="B657" i="22"/>
  <c r="B347" i="22"/>
  <c r="K70" i="8"/>
  <c r="L70" i="8" s="1"/>
  <c r="B542" i="22"/>
  <c r="B356" i="22"/>
  <c r="AA91" i="11"/>
  <c r="AD15" i="20"/>
  <c r="AS30" i="23"/>
  <c r="K337" i="8"/>
  <c r="L337" i="8" s="1"/>
  <c r="B651" i="22"/>
  <c r="AE91" i="11"/>
  <c r="AH15" i="20"/>
  <c r="K189" i="8"/>
  <c r="L189" i="8" s="1"/>
  <c r="K230" i="8" s="1"/>
  <c r="L230" i="8" s="1"/>
  <c r="K214" i="8" s="1"/>
  <c r="L214" i="8" s="1"/>
  <c r="B362" i="22"/>
  <c r="O793" i="18"/>
  <c r="N793" i="18"/>
  <c r="P793" i="18"/>
  <c r="Q793" i="18"/>
  <c r="M793" i="18"/>
  <c r="J91" i="11"/>
  <c r="M15" i="20"/>
  <c r="T91" i="11"/>
  <c r="W15" i="20"/>
  <c r="AS93" i="23"/>
  <c r="M91" i="11"/>
  <c r="P15" i="20"/>
  <c r="K84" i="6"/>
  <c r="L84" i="6" s="1"/>
  <c r="B653" i="22"/>
  <c r="G91" i="11"/>
  <c r="J15" i="20"/>
  <c r="K201" i="8"/>
  <c r="L201" i="8" s="1"/>
  <c r="B649" i="22"/>
  <c r="K84" i="7"/>
  <c r="L84" i="7" s="1"/>
  <c r="P463" i="18"/>
  <c r="O463" i="18"/>
  <c r="M463" i="18"/>
  <c r="N463" i="18"/>
  <c r="B363" i="22"/>
  <c r="Q463" i="18"/>
  <c r="O91" i="11"/>
  <c r="R15" i="20"/>
  <c r="K187" i="8"/>
  <c r="L187" i="8" s="1"/>
  <c r="K184" i="8" s="1"/>
  <c r="L184" i="8" s="1"/>
  <c r="K204" i="8"/>
  <c r="L204" i="8" s="1"/>
  <c r="B825" i="22" s="1"/>
  <c r="K206" i="8"/>
  <c r="L206" i="8" s="1"/>
  <c r="K205" i="8"/>
  <c r="L205" i="8" s="1"/>
  <c r="B355" i="22"/>
  <c r="B346" i="22"/>
  <c r="B540" i="22"/>
  <c r="B656" i="22"/>
  <c r="BF149" i="23"/>
  <c r="K90" i="7"/>
  <c r="L90" i="7" s="1"/>
  <c r="B652" i="22"/>
  <c r="K87" i="6"/>
  <c r="L87" i="6" s="1"/>
  <c r="B655" i="22"/>
  <c r="BF138" i="23"/>
  <c r="BJ34" i="23"/>
  <c r="K72" i="7"/>
  <c r="L72" i="7" s="1"/>
  <c r="M451" i="18"/>
  <c r="P451" i="18"/>
  <c r="B358" i="22"/>
  <c r="Q451" i="18"/>
  <c r="O451" i="18"/>
  <c r="N451" i="18"/>
  <c r="AT149" i="23"/>
  <c r="K325" i="8"/>
  <c r="L325" i="8" s="1"/>
  <c r="M929" i="18"/>
  <c r="B366" i="22"/>
  <c r="P929" i="18"/>
  <c r="Q929" i="18"/>
  <c r="N929" i="18"/>
  <c r="O929" i="18"/>
  <c r="K62" i="6"/>
  <c r="L62" i="6" s="1"/>
  <c r="K66" i="6"/>
  <c r="L66" i="6" s="1"/>
  <c r="K133" i="6" s="1"/>
  <c r="L133" i="6" s="1"/>
  <c r="K114" i="6" s="1"/>
  <c r="L114" i="6" s="1"/>
  <c r="B359" i="22"/>
  <c r="Q226" i="18"/>
  <c r="O226" i="18"/>
  <c r="P226" i="18"/>
  <c r="M226" i="18"/>
  <c r="N226" i="18"/>
  <c r="BJ35" i="23"/>
  <c r="BJ99" i="23"/>
  <c r="K101" i="7"/>
  <c r="L101" i="7" s="1"/>
  <c r="K96" i="7"/>
  <c r="L96" i="7" s="1"/>
  <c r="K145" i="7" s="1"/>
  <c r="L145" i="7" s="1"/>
  <c r="K124" i="7" s="1"/>
  <c r="L124" i="7" s="1"/>
  <c r="K70" i="7"/>
  <c r="L70" i="7" s="1"/>
  <c r="K106" i="7"/>
  <c r="L106" i="7" s="1"/>
  <c r="B823" i="22" s="1"/>
  <c r="K97" i="7"/>
  <c r="L97" i="7" s="1"/>
  <c r="K108" i="7"/>
  <c r="L108" i="7" s="1"/>
  <c r="K107" i="7"/>
  <c r="L107" i="7" s="1"/>
  <c r="B647" i="22"/>
  <c r="B541" i="22"/>
  <c r="B342" i="22"/>
  <c r="B351" i="22"/>
  <c r="B349" i="22"/>
  <c r="B344" i="22"/>
  <c r="K102" i="7"/>
  <c r="L102" i="7" s="1"/>
  <c r="B353" i="22"/>
  <c r="B645" i="22"/>
  <c r="B643" i="22"/>
  <c r="K103" i="7"/>
  <c r="L103" i="7" s="1"/>
  <c r="B340" i="22"/>
  <c r="K98" i="7"/>
  <c r="L98" i="7" s="1"/>
  <c r="AG91" i="11"/>
  <c r="AJ15" i="20"/>
  <c r="K93" i="7"/>
  <c r="L93" i="7" s="1"/>
  <c r="B654" i="22"/>
  <c r="AF91" i="11"/>
  <c r="AI15" i="20"/>
  <c r="L91" i="11"/>
  <c r="O15" i="20"/>
  <c r="K53" i="8"/>
  <c r="L53" i="8" s="1"/>
  <c r="K94" i="8" s="1"/>
  <c r="L94" i="8" s="1"/>
  <c r="K78" i="8" s="1"/>
  <c r="L78" i="8" s="1"/>
  <c r="Q657" i="18"/>
  <c r="P657" i="18"/>
  <c r="O657" i="18"/>
  <c r="N657" i="18"/>
  <c r="M657" i="18"/>
  <c r="B364" i="22"/>
  <c r="U91" i="11"/>
  <c r="X15" i="20"/>
  <c r="AZ138" i="23"/>
  <c r="BD161" i="23"/>
  <c r="AT138" i="23"/>
  <c r="V91" i="11"/>
  <c r="Y15" i="20"/>
  <c r="W91" i="11"/>
  <c r="Z15" i="20"/>
  <c r="K326" i="8"/>
  <c r="L326" i="8" s="1"/>
  <c r="B763" i="22" s="1"/>
  <c r="O930" i="18"/>
  <c r="B369" i="22"/>
  <c r="P930" i="18"/>
  <c r="Q930" i="18"/>
  <c r="M930" i="18"/>
  <c r="N930" i="18"/>
  <c r="K72" i="6"/>
  <c r="L72" i="6" s="1"/>
  <c r="B831" i="22" s="1"/>
  <c r="O232" i="18"/>
  <c r="Q232" i="18"/>
  <c r="B361" i="22"/>
  <c r="N232" i="18"/>
  <c r="M232" i="18"/>
  <c r="P232" i="18"/>
  <c r="K91" i="11"/>
  <c r="N15" i="20"/>
  <c r="BJ100" i="23"/>
  <c r="K65" i="8"/>
  <c r="L65" i="8" s="1"/>
  <c r="B650" i="22"/>
  <c r="K139" i="7"/>
  <c r="L139" i="7" s="1"/>
  <c r="K120" i="7" s="1"/>
  <c r="L120" i="7" s="1"/>
  <c r="K146" i="7" l="1"/>
  <c r="L146" i="7" s="1"/>
  <c r="K125" i="7" s="1"/>
  <c r="L125" i="7" s="1"/>
  <c r="B819" i="22"/>
  <c r="K144" i="7"/>
  <c r="L144" i="7" s="1"/>
  <c r="K123" i="7" s="1"/>
  <c r="L123" i="7" s="1"/>
  <c r="B824" i="22"/>
  <c r="B760" i="22"/>
  <c r="K134" i="6"/>
  <c r="L134" i="6" s="1"/>
  <c r="K115" i="6" s="1"/>
  <c r="L115" i="6" s="1"/>
  <c r="W27" i="11"/>
  <c r="K87" i="8"/>
  <c r="L87" i="8" s="1"/>
  <c r="P690" i="18"/>
  <c r="O690" i="18"/>
  <c r="Q690" i="18"/>
  <c r="M690" i="18"/>
  <c r="N690" i="18"/>
  <c r="L9" i="11"/>
  <c r="E9" i="11"/>
  <c r="G9" i="11"/>
  <c r="K359" i="8"/>
  <c r="L359" i="8" s="1"/>
  <c r="N962" i="18"/>
  <c r="Q962" i="18"/>
  <c r="M962" i="18"/>
  <c r="P962" i="18"/>
  <c r="O962" i="18"/>
  <c r="K319" i="8"/>
  <c r="L319" i="8" s="1"/>
  <c r="K318" i="8"/>
  <c r="L318" i="8" s="1"/>
  <c r="B317" i="22"/>
  <c r="B322" i="22"/>
  <c r="U18" i="11"/>
  <c r="K175" i="7"/>
  <c r="L175" i="7" s="1"/>
  <c r="K199" i="7"/>
  <c r="L199" i="7" s="1"/>
  <c r="K178" i="7"/>
  <c r="L178" i="7" s="1"/>
  <c r="S19" i="11" s="1"/>
  <c r="B440" i="22"/>
  <c r="B748" i="22"/>
  <c r="B438" i="22"/>
  <c r="B674" i="22"/>
  <c r="K206" i="7"/>
  <c r="L206" i="7" s="1"/>
  <c r="B571" i="22"/>
  <c r="B479" i="22"/>
  <c r="B828" i="22"/>
  <c r="K116" i="8"/>
  <c r="L116" i="8" s="1"/>
  <c r="B681" i="22"/>
  <c r="B473" i="22"/>
  <c r="B755" i="22"/>
  <c r="B475" i="22"/>
  <c r="K127" i="8"/>
  <c r="L127" i="8" s="1"/>
  <c r="B826" i="22"/>
  <c r="K95" i="8"/>
  <c r="L95" i="8" s="1"/>
  <c r="K79" i="8" s="1"/>
  <c r="L79" i="8" s="1"/>
  <c r="B835" i="22"/>
  <c r="K60" i="6"/>
  <c r="L60" i="6" s="1"/>
  <c r="K61" i="6"/>
  <c r="L61" i="6" s="1"/>
  <c r="B316" i="22"/>
  <c r="B321" i="22"/>
  <c r="K388" i="8"/>
  <c r="L388" i="8" s="1"/>
  <c r="K399" i="8"/>
  <c r="L399" i="8" s="1"/>
  <c r="B756" i="22"/>
  <c r="B478" i="22"/>
  <c r="B476" i="22"/>
  <c r="B682" i="22"/>
  <c r="K157" i="7"/>
  <c r="L157" i="7" s="1"/>
  <c r="K168" i="7"/>
  <c r="L168" i="7" s="1"/>
  <c r="B573" i="22"/>
  <c r="B2" i="22"/>
  <c r="B487" i="22"/>
  <c r="K207" i="7"/>
  <c r="L207" i="7" s="1"/>
  <c r="B830" i="22"/>
  <c r="K140" i="7"/>
  <c r="L140" i="7" s="1"/>
  <c r="K121" i="7" s="1"/>
  <c r="L121" i="7" s="1"/>
  <c r="K67" i="7"/>
  <c r="L67" i="7" s="1"/>
  <c r="K66" i="7"/>
  <c r="L66" i="7" s="1"/>
  <c r="B319" i="22"/>
  <c r="B314" i="22"/>
  <c r="K68" i="7"/>
  <c r="L68" i="7" s="1"/>
  <c r="K179" i="7"/>
  <c r="L179" i="7" s="1"/>
  <c r="T19" i="11" s="1"/>
  <c r="K176" i="7"/>
  <c r="L176" i="7" s="1"/>
  <c r="K200" i="7"/>
  <c r="L200" i="7" s="1"/>
  <c r="B676" i="22"/>
  <c r="B444" i="22"/>
  <c r="B446" i="22"/>
  <c r="B750" i="22"/>
  <c r="K248" i="8"/>
  <c r="L248" i="8" s="1"/>
  <c r="K240" i="8" s="1"/>
  <c r="L240" i="8" s="1"/>
  <c r="B205" i="22"/>
  <c r="K174" i="6"/>
  <c r="L174" i="6" s="1"/>
  <c r="L10" i="11" s="1"/>
  <c r="K171" i="6"/>
  <c r="L171" i="6" s="1"/>
  <c r="B679" i="22"/>
  <c r="B455" i="22"/>
  <c r="B753" i="22"/>
  <c r="B453" i="22"/>
  <c r="K195" i="6"/>
  <c r="L195" i="6" s="1"/>
  <c r="B758" i="22"/>
  <c r="K169" i="7"/>
  <c r="L169" i="7" s="1"/>
  <c r="K155" i="7" s="1"/>
  <c r="L155" i="7" s="1"/>
  <c r="B201" i="22"/>
  <c r="K384" i="8"/>
  <c r="L384" i="8" s="1"/>
  <c r="K376" i="8" s="1"/>
  <c r="L376" i="8" s="1"/>
  <c r="B207" i="22"/>
  <c r="K105" i="8"/>
  <c r="L105" i="8" s="1"/>
  <c r="K133" i="8"/>
  <c r="L133" i="8" s="1"/>
  <c r="B581" i="22"/>
  <c r="B7" i="22"/>
  <c r="B525" i="22"/>
  <c r="T18" i="11"/>
  <c r="C91" i="11"/>
  <c r="K223" i="8"/>
  <c r="L223" i="8" s="1"/>
  <c r="N826" i="18"/>
  <c r="O826" i="18"/>
  <c r="M826" i="18"/>
  <c r="P826" i="18"/>
  <c r="Q826" i="18"/>
  <c r="K170" i="7"/>
  <c r="L170" i="7" s="1"/>
  <c r="K159" i="7"/>
  <c r="L159" i="7" s="1"/>
  <c r="B4" i="22"/>
  <c r="B502" i="22"/>
  <c r="B576" i="22"/>
  <c r="K208" i="7"/>
  <c r="L208" i="7" s="1"/>
  <c r="K141" i="7"/>
  <c r="L141" i="7" s="1"/>
  <c r="K122" i="7" s="1"/>
  <c r="L122" i="7" s="1"/>
  <c r="B833" i="22"/>
  <c r="K377" i="8"/>
  <c r="L377" i="8" s="1"/>
  <c r="K405" i="8"/>
  <c r="L405" i="8" s="1"/>
  <c r="B530" i="22"/>
  <c r="B8" i="22"/>
  <c r="B582" i="22"/>
  <c r="N18" i="11"/>
  <c r="K171" i="7"/>
  <c r="L171" i="7" s="1"/>
  <c r="K156" i="7" s="1"/>
  <c r="L156" i="7" s="1"/>
  <c r="B203" i="22"/>
  <c r="B821" i="22"/>
  <c r="B483" i="22"/>
  <c r="B572" i="22"/>
  <c r="K200" i="6"/>
  <c r="L200" i="6" s="1"/>
  <c r="K383" i="8"/>
  <c r="L383" i="8" s="1"/>
  <c r="K404" i="8"/>
  <c r="L404" i="8" s="1"/>
  <c r="B579" i="22"/>
  <c r="B517" i="22"/>
  <c r="B836" i="22"/>
  <c r="K252" i="8"/>
  <c r="L252" i="8" s="1"/>
  <c r="B680" i="22"/>
  <c r="B458" i="22"/>
  <c r="B754" i="22"/>
  <c r="B456" i="22"/>
  <c r="K263" i="8"/>
  <c r="L263" i="8" s="1"/>
  <c r="K231" i="8"/>
  <c r="L231" i="8" s="1"/>
  <c r="K215" i="8" s="1"/>
  <c r="L215" i="8" s="1"/>
  <c r="K139" i="6"/>
  <c r="L139" i="6" s="1"/>
  <c r="K118" i="6" s="1"/>
  <c r="L118" i="6" s="1"/>
  <c r="B829" i="22"/>
  <c r="K151" i="6"/>
  <c r="L151" i="6" s="1"/>
  <c r="K162" i="6"/>
  <c r="L162" i="6" s="1"/>
  <c r="B3" i="22"/>
  <c r="B493" i="22"/>
  <c r="B574" i="22"/>
  <c r="K201" i="6"/>
  <c r="L201" i="6" s="1"/>
  <c r="J9" i="11"/>
  <c r="S18" i="11"/>
  <c r="K127" i="6"/>
  <c r="L127" i="6" s="1"/>
  <c r="M286" i="18"/>
  <c r="Q286" i="18"/>
  <c r="O286" i="18"/>
  <c r="N286" i="18"/>
  <c r="P286" i="18"/>
  <c r="AB32" i="11"/>
  <c r="K183" i="8"/>
  <c r="L183" i="8" s="1"/>
  <c r="K182" i="8"/>
  <c r="L182" i="8" s="1"/>
  <c r="B318" i="22"/>
  <c r="B313" i="22"/>
  <c r="K47" i="8"/>
  <c r="L47" i="8" s="1"/>
  <c r="K46" i="8"/>
  <c r="L46" i="8" s="1"/>
  <c r="B320" i="22"/>
  <c r="B315" i="22"/>
  <c r="K173" i="6"/>
  <c r="L173" i="6" s="1"/>
  <c r="K10" i="11" s="1"/>
  <c r="K170" i="6"/>
  <c r="L170" i="6" s="1"/>
  <c r="B677" i="22"/>
  <c r="B449" i="22"/>
  <c r="B447" i="22"/>
  <c r="B751" i="22"/>
  <c r="K194" i="6"/>
  <c r="L194" i="6" s="1"/>
  <c r="F9" i="11"/>
  <c r="K153" i="6"/>
  <c r="L153" i="6" s="1"/>
  <c r="K164" i="6"/>
  <c r="L164" i="6" s="1"/>
  <c r="B5" i="22"/>
  <c r="B578" i="22"/>
  <c r="B513" i="22"/>
  <c r="K202" i="6"/>
  <c r="L202" i="6" s="1"/>
  <c r="K112" i="8"/>
  <c r="L112" i="8" s="1"/>
  <c r="K104" i="8" s="1"/>
  <c r="L104" i="8" s="1"/>
  <c r="B206" i="22"/>
  <c r="K111" i="8"/>
  <c r="L111" i="8" s="1"/>
  <c r="K132" i="8"/>
  <c r="L132" i="8" s="1"/>
  <c r="B577" i="22"/>
  <c r="B507" i="22"/>
  <c r="B834" i="22"/>
  <c r="K180" i="7"/>
  <c r="L180" i="7" s="1"/>
  <c r="U19" i="11" s="1"/>
  <c r="K177" i="7"/>
  <c r="L177" i="7" s="1"/>
  <c r="B678" i="22"/>
  <c r="B452" i="22"/>
  <c r="B450" i="22"/>
  <c r="B752" i="22"/>
  <c r="K201" i="7"/>
  <c r="L201" i="7" s="1"/>
  <c r="K165" i="6"/>
  <c r="L165" i="6" s="1"/>
  <c r="K150" i="6" s="1"/>
  <c r="L150" i="6" s="1"/>
  <c r="B204" i="22"/>
  <c r="B759" i="22"/>
  <c r="K163" i="6"/>
  <c r="L163" i="6" s="1"/>
  <c r="K149" i="6" s="1"/>
  <c r="L149" i="6" s="1"/>
  <c r="B202" i="22"/>
  <c r="K268" i="8"/>
  <c r="L268" i="8" s="1"/>
  <c r="B575" i="22"/>
  <c r="B498" i="22"/>
  <c r="B832" i="22"/>
  <c r="K247" i="8"/>
  <c r="L247" i="8" s="1"/>
  <c r="K241" i="8"/>
  <c r="L241" i="8" s="1"/>
  <c r="K269" i="8"/>
  <c r="L269" i="8" s="1"/>
  <c r="B580" i="22"/>
  <c r="B521" i="22"/>
  <c r="B6" i="22"/>
  <c r="K172" i="6"/>
  <c r="L172" i="6" s="1"/>
  <c r="J10" i="11" s="1"/>
  <c r="K169" i="6"/>
  <c r="L169" i="6" s="1"/>
  <c r="B443" i="22"/>
  <c r="B675" i="22"/>
  <c r="B441" i="22"/>
  <c r="B749" i="22"/>
  <c r="K193" i="6"/>
  <c r="L193" i="6" s="1"/>
  <c r="K367" i="8"/>
  <c r="L367" i="8" s="1"/>
  <c r="K351" i="8" s="1"/>
  <c r="L351" i="8" s="1"/>
  <c r="K366" i="8"/>
  <c r="L366" i="8" s="1"/>
  <c r="K350" i="8" s="1"/>
  <c r="L350" i="8" s="1"/>
  <c r="B820" i="22"/>
  <c r="K148" i="6" l="1"/>
  <c r="L148" i="6" s="1"/>
  <c r="K260" i="8"/>
  <c r="L260" i="8" s="1"/>
  <c r="K133" i="7"/>
  <c r="L133" i="7" s="1"/>
  <c r="O511" i="18"/>
  <c r="N511" i="18"/>
  <c r="M511" i="18"/>
  <c r="P511" i="18"/>
  <c r="Q511" i="18"/>
  <c r="AG37" i="11"/>
  <c r="J11" i="11"/>
  <c r="K239" i="8"/>
  <c r="L239" i="8" s="1"/>
  <c r="K147" i="6"/>
  <c r="L147" i="6" s="1"/>
  <c r="K196" i="7"/>
  <c r="L196" i="7" s="1"/>
  <c r="K126" i="6"/>
  <c r="L126" i="6" s="1"/>
  <c r="B326" i="22"/>
  <c r="B17" i="22"/>
  <c r="B213" i="22"/>
  <c r="K365" i="8"/>
  <c r="L365" i="8" s="1"/>
  <c r="K360" i="8"/>
  <c r="L360" i="8" s="1"/>
  <c r="K364" i="8"/>
  <c r="L364" i="8" s="1"/>
  <c r="K401" i="8"/>
  <c r="L401" i="8" s="1"/>
  <c r="Q963" i="18"/>
  <c r="Q964" i="18"/>
  <c r="O964" i="18"/>
  <c r="N963" i="18"/>
  <c r="B392" i="22"/>
  <c r="P964" i="18"/>
  <c r="B434" i="22"/>
  <c r="M964" i="18"/>
  <c r="B387" i="22"/>
  <c r="B554" i="22"/>
  <c r="M963" i="18"/>
  <c r="N964" i="18"/>
  <c r="P963" i="18"/>
  <c r="O963" i="18"/>
  <c r="B386" i="22"/>
  <c r="H11" i="11"/>
  <c r="Q20" i="11"/>
  <c r="K124" i="8"/>
  <c r="L124" i="8" s="1"/>
  <c r="K92" i="8"/>
  <c r="L92" i="8" s="1"/>
  <c r="K88" i="8"/>
  <c r="L88" i="8" s="1"/>
  <c r="K93" i="8"/>
  <c r="L93" i="8" s="1"/>
  <c r="K129" i="8"/>
  <c r="L129" i="8" s="1"/>
  <c r="Q692" i="18"/>
  <c r="B390" i="22"/>
  <c r="N692" i="18"/>
  <c r="B378" i="22"/>
  <c r="O692" i="18"/>
  <c r="B379" i="22"/>
  <c r="M692" i="18"/>
  <c r="O691" i="18"/>
  <c r="M691" i="18"/>
  <c r="B552" i="22"/>
  <c r="P691" i="18"/>
  <c r="B420" i="22"/>
  <c r="Q691" i="18"/>
  <c r="P692" i="18"/>
  <c r="N691" i="18"/>
  <c r="K222" i="8"/>
  <c r="L222" i="8" s="1"/>
  <c r="B14" i="22"/>
  <c r="B323" i="22"/>
  <c r="B210" i="22"/>
  <c r="R21" i="11"/>
  <c r="K397" i="8"/>
  <c r="L397" i="8" s="1"/>
  <c r="K203" i="7"/>
  <c r="L203" i="7" s="1"/>
  <c r="K137" i="7"/>
  <c r="L137" i="7" s="1"/>
  <c r="K138" i="7"/>
  <c r="L138" i="7" s="1"/>
  <c r="K134" i="7"/>
  <c r="L134" i="7" s="1"/>
  <c r="B374" i="22"/>
  <c r="M513" i="18"/>
  <c r="B411" i="22"/>
  <c r="B372" i="22"/>
  <c r="B373" i="22"/>
  <c r="P513" i="18"/>
  <c r="Q512" i="18"/>
  <c r="B377" i="22"/>
  <c r="O512" i="18"/>
  <c r="M512" i="18"/>
  <c r="Q513" i="18"/>
  <c r="O513" i="18"/>
  <c r="B375" i="22"/>
  <c r="B551" i="22"/>
  <c r="B376" i="22"/>
  <c r="N512" i="18"/>
  <c r="N513" i="18"/>
  <c r="P512" i="18"/>
  <c r="B389" i="22"/>
  <c r="K194" i="7"/>
  <c r="L194" i="7" s="1"/>
  <c r="S20" i="11"/>
  <c r="S24" i="11" s="1"/>
  <c r="K189" i="6"/>
  <c r="L189" i="6" s="1"/>
  <c r="U20" i="11"/>
  <c r="K86" i="8"/>
  <c r="L86" i="8" s="1"/>
  <c r="B16" i="22"/>
  <c r="B325" i="22"/>
  <c r="B212" i="22"/>
  <c r="K9" i="11"/>
  <c r="AE33" i="11"/>
  <c r="K188" i="6"/>
  <c r="L188" i="6" s="1"/>
  <c r="K375" i="8"/>
  <c r="L375" i="8" s="1"/>
  <c r="K125" i="8"/>
  <c r="L125" i="8" s="1"/>
  <c r="L11" i="11"/>
  <c r="K132" i="7"/>
  <c r="L132" i="7" s="1"/>
  <c r="B324" i="22"/>
  <c r="B15" i="22"/>
  <c r="B211" i="22"/>
  <c r="Z27" i="11"/>
  <c r="Z28" i="11"/>
  <c r="I12" i="11"/>
  <c r="AE32" i="11"/>
  <c r="K103" i="8"/>
  <c r="L103" i="8" s="1"/>
  <c r="K261" i="8"/>
  <c r="L261" i="8" s="1"/>
  <c r="P18" i="11"/>
  <c r="AJ37" i="11"/>
  <c r="K396" i="8"/>
  <c r="L396" i="8" s="1"/>
  <c r="J15" i="11"/>
  <c r="U26" i="11"/>
  <c r="Y29" i="11"/>
  <c r="G14" i="11"/>
  <c r="T20" i="11"/>
  <c r="O18" i="11"/>
  <c r="AJ38" i="11"/>
  <c r="AI39" i="11"/>
  <c r="K195" i="7"/>
  <c r="L195" i="7" s="1"/>
  <c r="K228" i="8"/>
  <c r="L228" i="8" s="1"/>
  <c r="K224" i="8"/>
  <c r="L224" i="8" s="1"/>
  <c r="K229" i="8"/>
  <c r="L229" i="8" s="1"/>
  <c r="K265" i="8"/>
  <c r="L265" i="8" s="1"/>
  <c r="Q828" i="18"/>
  <c r="M827" i="18"/>
  <c r="N827" i="18"/>
  <c r="P828" i="18"/>
  <c r="B370" i="22"/>
  <c r="P827" i="18"/>
  <c r="B388" i="22"/>
  <c r="O828" i="18"/>
  <c r="M828" i="18"/>
  <c r="Q827" i="18"/>
  <c r="N828" i="18"/>
  <c r="O827" i="18"/>
  <c r="B550" i="22"/>
  <c r="B407" i="22"/>
  <c r="B371" i="22"/>
  <c r="K197" i="6"/>
  <c r="L197" i="6" s="1"/>
  <c r="K131" i="6"/>
  <c r="L131" i="6" s="1"/>
  <c r="K132" i="6"/>
  <c r="L132" i="6" s="1"/>
  <c r="K128" i="6"/>
  <c r="L128" i="6" s="1"/>
  <c r="O288" i="18"/>
  <c r="B380" i="22"/>
  <c r="M288" i="18"/>
  <c r="B391" i="22"/>
  <c r="N287" i="18"/>
  <c r="B384" i="22"/>
  <c r="M287" i="18"/>
  <c r="B385" i="22"/>
  <c r="Q288" i="18"/>
  <c r="O287" i="18"/>
  <c r="B383" i="22"/>
  <c r="P288" i="18"/>
  <c r="B381" i="22"/>
  <c r="N288" i="18"/>
  <c r="B426" i="22"/>
  <c r="Q287" i="18"/>
  <c r="P287" i="18"/>
  <c r="B382" i="22"/>
  <c r="B553" i="22"/>
  <c r="K358" i="8"/>
  <c r="L358" i="8" s="1"/>
  <c r="B214" i="22"/>
  <c r="B327" i="22"/>
  <c r="B18" i="22"/>
  <c r="K190" i="6"/>
  <c r="L190" i="6" s="1"/>
  <c r="K11" i="11"/>
  <c r="K154" i="7"/>
  <c r="L154" i="7" s="1"/>
  <c r="AD34" i="11"/>
  <c r="K153" i="7"/>
  <c r="L153" i="7" s="1"/>
  <c r="Z31" i="11" l="1"/>
  <c r="K219" i="8"/>
  <c r="L219" i="8" s="1"/>
  <c r="AE36" i="11"/>
  <c r="AJ41" i="11"/>
  <c r="K123" i="6"/>
  <c r="L123" i="6" s="1"/>
  <c r="K83" i="8"/>
  <c r="L83" i="8" s="1"/>
  <c r="K355" i="8"/>
  <c r="L355" i="8" s="1"/>
  <c r="P23" i="11"/>
  <c r="P21" i="11" s="1"/>
  <c r="K354" i="8"/>
  <c r="L354" i="8" s="1"/>
  <c r="N952" i="18"/>
  <c r="Q952" i="18"/>
  <c r="O953" i="18"/>
  <c r="N953" i="18"/>
  <c r="O952" i="18"/>
  <c r="M952" i="18"/>
  <c r="B597" i="22"/>
  <c r="M953" i="18"/>
  <c r="P952" i="18"/>
  <c r="P953" i="18"/>
  <c r="Q953" i="18"/>
  <c r="AI40" i="11"/>
  <c r="K82" i="8"/>
  <c r="L82" i="8" s="1"/>
  <c r="K81" i="8" s="1"/>
  <c r="L81" i="8" s="1"/>
  <c r="K80" i="8" s="1"/>
  <c r="L80" i="8" s="1"/>
  <c r="N680" i="18"/>
  <c r="M681" i="18"/>
  <c r="M680" i="18"/>
  <c r="O681" i="18"/>
  <c r="Q680" i="18"/>
  <c r="Q681" i="18"/>
  <c r="N681" i="18"/>
  <c r="P681" i="18"/>
  <c r="P680" i="18"/>
  <c r="O680" i="18"/>
  <c r="B595" i="22"/>
  <c r="K395" i="8"/>
  <c r="L395" i="8" s="1"/>
  <c r="B592" i="22"/>
  <c r="K122" i="6"/>
  <c r="L122" i="6" s="1"/>
  <c r="K121" i="6" s="1"/>
  <c r="L121" i="6" s="1"/>
  <c r="K120" i="6" s="1"/>
  <c r="L120" i="6" s="1"/>
  <c r="N271" i="18"/>
  <c r="P271" i="18"/>
  <c r="Q268" i="18"/>
  <c r="B596" i="22"/>
  <c r="Q273" i="18"/>
  <c r="O273" i="18"/>
  <c r="O270" i="18"/>
  <c r="Q271" i="18"/>
  <c r="Q270" i="18"/>
  <c r="M269" i="18"/>
  <c r="P269" i="18"/>
  <c r="N273" i="18"/>
  <c r="P268" i="18"/>
  <c r="O271" i="18"/>
  <c r="Q272" i="18"/>
  <c r="M273" i="18"/>
  <c r="N272" i="18"/>
  <c r="P272" i="18"/>
  <c r="N269" i="18"/>
  <c r="N270" i="18"/>
  <c r="M272" i="18"/>
  <c r="O269" i="18"/>
  <c r="O268" i="18"/>
  <c r="P273" i="18"/>
  <c r="M270" i="18"/>
  <c r="O272" i="18"/>
  <c r="N268" i="18"/>
  <c r="M271" i="18"/>
  <c r="P270" i="18"/>
  <c r="M268" i="18"/>
  <c r="Q269" i="18"/>
  <c r="AD35" i="11"/>
  <c r="B661" i="22"/>
  <c r="AG38" i="11"/>
  <c r="K187" i="6"/>
  <c r="L187" i="6" s="1"/>
  <c r="B591" i="22"/>
  <c r="T25" i="11"/>
  <c r="B662" i="22"/>
  <c r="F13" i="11"/>
  <c r="K129" i="7"/>
  <c r="L129" i="7" s="1"/>
  <c r="B660" i="22"/>
  <c r="R23" i="11"/>
  <c r="Q22" i="11"/>
  <c r="O22" i="11"/>
  <c r="G12" i="11"/>
  <c r="L17" i="11"/>
  <c r="AH40" i="11"/>
  <c r="K193" i="7"/>
  <c r="L193" i="7" s="1"/>
  <c r="B589" i="22"/>
  <c r="H13" i="11"/>
  <c r="B663" i="22"/>
  <c r="K218" i="8"/>
  <c r="L218" i="8" s="1"/>
  <c r="K217" i="8" s="1"/>
  <c r="L217" i="8" s="1"/>
  <c r="K216" i="8" s="1"/>
  <c r="L216" i="8" s="1"/>
  <c r="Q816" i="18"/>
  <c r="Q817" i="18"/>
  <c r="N816" i="18"/>
  <c r="M816" i="18"/>
  <c r="P817" i="18"/>
  <c r="P816" i="18"/>
  <c r="O816" i="18"/>
  <c r="B593" i="22"/>
  <c r="M817" i="18"/>
  <c r="N817" i="18"/>
  <c r="O817" i="18"/>
  <c r="K16" i="11"/>
  <c r="K259" i="8"/>
  <c r="L259" i="8" s="1"/>
  <c r="B588" i="22"/>
  <c r="K128" i="7"/>
  <c r="L128" i="7" s="1"/>
  <c r="O494" i="18"/>
  <c r="N495" i="18"/>
  <c r="M498" i="18"/>
  <c r="Q496" i="18"/>
  <c r="O493" i="18"/>
  <c r="N497" i="18"/>
  <c r="P494" i="18"/>
  <c r="O496" i="18"/>
  <c r="M496" i="18"/>
  <c r="M493" i="18"/>
  <c r="P498" i="18"/>
  <c r="N494" i="18"/>
  <c r="N496" i="18"/>
  <c r="M495" i="18"/>
  <c r="M494" i="18"/>
  <c r="P496" i="18"/>
  <c r="O495" i="18"/>
  <c r="Q498" i="18"/>
  <c r="P493" i="18"/>
  <c r="M497" i="18"/>
  <c r="Q497" i="18"/>
  <c r="P495" i="18"/>
  <c r="Q495" i="18"/>
  <c r="N493" i="18"/>
  <c r="B594" i="22"/>
  <c r="N498" i="18"/>
  <c r="Q493" i="18"/>
  <c r="O498" i="18"/>
  <c r="O497" i="18"/>
  <c r="Q494" i="18"/>
  <c r="P497" i="18"/>
  <c r="Y30" i="11"/>
  <c r="N19" i="11"/>
  <c r="K123" i="8"/>
  <c r="L123" i="8" s="1"/>
  <c r="B590" i="22"/>
  <c r="B659" i="22"/>
  <c r="X30" i="11"/>
  <c r="X29" i="11" s="1"/>
  <c r="I14" i="11"/>
  <c r="E10" i="11"/>
  <c r="W28" i="11"/>
  <c r="AC35" i="11"/>
  <c r="AC34" i="11" s="1"/>
  <c r="AB33" i="11"/>
  <c r="K353" i="8" l="1"/>
  <c r="L353" i="8" s="1"/>
  <c r="K352" i="8" s="1"/>
  <c r="L352" i="8" s="1"/>
  <c r="K348" i="8" s="1"/>
  <c r="L348" i="8" s="1"/>
  <c r="K77" i="8"/>
  <c r="L77" i="8" s="1"/>
  <c r="K76" i="8"/>
  <c r="L76" i="8" s="1"/>
  <c r="K109" i="6"/>
  <c r="L109" i="6" s="1"/>
  <c r="K111" i="6"/>
  <c r="L111" i="6" s="1"/>
  <c r="K113" i="6"/>
  <c r="L113" i="6" s="1"/>
  <c r="K108" i="6"/>
  <c r="L108" i="6" s="1"/>
  <c r="K110" i="6"/>
  <c r="L110" i="6" s="1"/>
  <c r="K112" i="6"/>
  <c r="L112" i="6" s="1"/>
  <c r="O20" i="11"/>
  <c r="AH39" i="11"/>
  <c r="K127" i="7"/>
  <c r="L127" i="7" s="1"/>
  <c r="K126" i="7" s="1"/>
  <c r="L126" i="7" s="1"/>
  <c r="K213" i="8"/>
  <c r="L213" i="8" s="1"/>
  <c r="K212" i="8"/>
  <c r="L212" i="8" s="1"/>
  <c r="F11" i="11"/>
  <c r="K349" i="8" l="1"/>
  <c r="L349" i="8" s="1"/>
  <c r="D16" i="11"/>
  <c r="D12" i="11"/>
  <c r="AF38" i="11"/>
  <c r="K114" i="7"/>
  <c r="L114" i="7" s="1"/>
  <c r="K116" i="7"/>
  <c r="L116" i="7" s="1"/>
  <c r="K118" i="7"/>
  <c r="L118" i="7" s="1"/>
  <c r="K117" i="7"/>
  <c r="L117" i="7" s="1"/>
  <c r="K115" i="7"/>
  <c r="L115" i="7" s="1"/>
  <c r="K119" i="7"/>
  <c r="L119" i="7" s="1"/>
  <c r="D15" i="11"/>
  <c r="AA33" i="11"/>
  <c r="D11" i="11"/>
  <c r="AA36" i="11"/>
  <c r="D17" i="11"/>
  <c r="V28" i="11"/>
  <c r="AF41" i="11"/>
  <c r="D10" i="11"/>
  <c r="V31" i="11"/>
  <c r="AA32" i="11" l="1"/>
  <c r="M19" i="11"/>
  <c r="AF37" i="11"/>
  <c r="M26" i="11"/>
  <c r="M21" i="11"/>
  <c r="M20" i="11"/>
  <c r="M24" i="11"/>
  <c r="V27" i="11"/>
  <c r="D9" i="11"/>
  <c r="M25" i="11"/>
  <c r="M18" i="11" l="1"/>
  <c r="D45" i="11" s="1" a="1"/>
  <c r="E45" i="11" l="1"/>
  <c r="I45" i="11"/>
  <c r="M45" i="11"/>
  <c r="Q45" i="11"/>
  <c r="U45" i="11"/>
  <c r="Y45" i="11"/>
  <c r="AC45" i="11"/>
  <c r="AG45" i="11"/>
  <c r="D45" i="11"/>
  <c r="G45" i="11"/>
  <c r="P45" i="11"/>
  <c r="AD45" i="11"/>
  <c r="R45" i="11"/>
  <c r="W45" i="11"/>
  <c r="AB45" i="11"/>
  <c r="L45" i="11"/>
  <c r="X45" i="11"/>
  <c r="AJ45" i="11"/>
  <c r="F45" i="11"/>
  <c r="S45" i="11"/>
  <c r="AE45" i="11"/>
  <c r="V45" i="11"/>
  <c r="O45" i="11"/>
  <c r="H45" i="11"/>
  <c r="AF45" i="11"/>
  <c r="Z45" i="11"/>
  <c r="AA45" i="11"/>
  <c r="AI45" i="11"/>
  <c r="J45" i="11"/>
  <c r="K45" i="11"/>
  <c r="AH45" i="11"/>
  <c r="N45" i="11"/>
  <c r="T45" i="11"/>
  <c r="N60" i="11" l="1"/>
  <c r="N61" i="11"/>
  <c r="N62" i="11"/>
  <c r="N72" i="11"/>
  <c r="N80" i="11"/>
  <c r="N57" i="11"/>
  <c r="N67" i="11"/>
  <c r="N76" i="11"/>
  <c r="N85" i="11"/>
  <c r="N68" i="11"/>
  <c r="N77" i="11"/>
  <c r="N86" i="11"/>
  <c r="N55" i="11"/>
  <c r="N59" i="11"/>
  <c r="N66" i="11"/>
  <c r="N79" i="11"/>
  <c r="N69" i="11"/>
  <c r="N81" i="11"/>
  <c r="N63" i="11"/>
  <c r="N70" i="11"/>
  <c r="N82" i="11"/>
  <c r="N71" i="11"/>
  <c r="N83" i="11"/>
  <c r="N56" i="11"/>
  <c r="N74" i="11"/>
  <c r="N87" i="11"/>
  <c r="N75" i="11"/>
  <c r="N78" i="11"/>
  <c r="N84" i="11"/>
  <c r="N58" i="11"/>
  <c r="AD24" i="23"/>
  <c r="E15" i="23"/>
  <c r="N50" i="11"/>
  <c r="N73" i="11"/>
  <c r="AE23" i="23"/>
  <c r="AS88" i="23" s="1"/>
  <c r="CB12" i="23"/>
  <c r="N49" i="11"/>
  <c r="N48" i="11" s="1"/>
  <c r="AI23" i="23"/>
  <c r="N64" i="11"/>
  <c r="AG23" i="23"/>
  <c r="BA91" i="23" s="1"/>
  <c r="N94" i="11"/>
  <c r="H55" i="11"/>
  <c r="H62" i="11"/>
  <c r="H70" i="11"/>
  <c r="H78" i="11"/>
  <c r="H86" i="11"/>
  <c r="H67" i="11"/>
  <c r="H76" i="11"/>
  <c r="H85" i="11"/>
  <c r="H65" i="11"/>
  <c r="H75" i="11"/>
  <c r="H87" i="11"/>
  <c r="H66" i="11"/>
  <c r="H77" i="11"/>
  <c r="H64" i="11"/>
  <c r="H80" i="11"/>
  <c r="H56" i="11"/>
  <c r="H68" i="11"/>
  <c r="H81" i="11"/>
  <c r="H69" i="11"/>
  <c r="H82" i="11"/>
  <c r="H58" i="11"/>
  <c r="H71" i="11"/>
  <c r="H83" i="11"/>
  <c r="H60" i="11"/>
  <c r="H73" i="11"/>
  <c r="H74" i="11"/>
  <c r="H79" i="11"/>
  <c r="H46" i="11"/>
  <c r="H84" i="11"/>
  <c r="H50" i="11"/>
  <c r="H63" i="11"/>
  <c r="C23" i="23"/>
  <c r="H61" i="11"/>
  <c r="H72" i="11"/>
  <c r="H49" i="11"/>
  <c r="BV12" i="23"/>
  <c r="AG16" i="23"/>
  <c r="AX35" i="23" s="1"/>
  <c r="H94" i="11"/>
  <c r="AN16" i="23"/>
  <c r="AY32" i="23" s="1"/>
  <c r="AN14" i="23"/>
  <c r="H57" i="11"/>
  <c r="L70" i="11"/>
  <c r="L78" i="11"/>
  <c r="L86" i="11"/>
  <c r="L69" i="11"/>
  <c r="L79" i="11"/>
  <c r="L59" i="11"/>
  <c r="L62" i="11"/>
  <c r="L71" i="11"/>
  <c r="L80" i="11"/>
  <c r="L60" i="11"/>
  <c r="L61" i="11"/>
  <c r="L64" i="11"/>
  <c r="L75" i="11"/>
  <c r="L87" i="11"/>
  <c r="L65" i="11"/>
  <c r="L76" i="11"/>
  <c r="L66" i="11"/>
  <c r="L77" i="11"/>
  <c r="L67" i="11"/>
  <c r="L81" i="11"/>
  <c r="L58" i="11"/>
  <c r="L72" i="11"/>
  <c r="L83" i="11"/>
  <c r="L73" i="11"/>
  <c r="L74" i="11"/>
  <c r="L50" i="11"/>
  <c r="L82" i="11"/>
  <c r="L84" i="11"/>
  <c r="AG20" i="23"/>
  <c r="BH27" i="23" s="1"/>
  <c r="C47" i="23"/>
  <c r="L85" i="11"/>
  <c r="L46" i="11"/>
  <c r="L49" i="11"/>
  <c r="L48" i="11" s="1"/>
  <c r="BZ12" i="23"/>
  <c r="L68" i="11"/>
  <c r="AK20" i="23"/>
  <c r="BF20" i="23" s="1"/>
  <c r="L56" i="11"/>
  <c r="L94" i="11"/>
  <c r="L55" i="11"/>
  <c r="AL20" i="23"/>
  <c r="L57" i="11"/>
  <c r="AG55" i="11"/>
  <c r="AG60" i="11"/>
  <c r="AG61" i="11"/>
  <c r="AG63" i="11"/>
  <c r="AG59" i="11"/>
  <c r="AG67" i="11"/>
  <c r="AG72" i="11"/>
  <c r="AG58" i="11"/>
  <c r="AG68" i="11"/>
  <c r="AG65" i="11"/>
  <c r="AG66" i="11"/>
  <c r="AG62" i="11"/>
  <c r="AD46" i="23"/>
  <c r="AG64" i="11"/>
  <c r="AG71" i="11"/>
  <c r="AG73" i="11"/>
  <c r="AG78" i="11"/>
  <c r="AG82" i="11"/>
  <c r="AG85" i="11"/>
  <c r="AG86" i="11"/>
  <c r="AG57" i="11"/>
  <c r="AG70" i="11"/>
  <c r="AG87" i="11"/>
  <c r="K27" i="23"/>
  <c r="AG75" i="11"/>
  <c r="AG77" i="11"/>
  <c r="AG79" i="11"/>
  <c r="AG81" i="11"/>
  <c r="AG56" i="11"/>
  <c r="AG69" i="11"/>
  <c r="AG49" i="11"/>
  <c r="AG48" i="11" s="1"/>
  <c r="AG46" i="11"/>
  <c r="AH46" i="11"/>
  <c r="AG76" i="11"/>
  <c r="AG50" i="11"/>
  <c r="AG74" i="11"/>
  <c r="AG80" i="11"/>
  <c r="AE45" i="23"/>
  <c r="BE147" i="23" s="1"/>
  <c r="BF155" i="23"/>
  <c r="CU12" i="23"/>
  <c r="BG145" i="23"/>
  <c r="AI45" i="23"/>
  <c r="AI44" i="23" s="1"/>
  <c r="AG45" i="23"/>
  <c r="BH152" i="23" s="1"/>
  <c r="AG94" i="11"/>
  <c r="AG83" i="11"/>
  <c r="AH55" i="11"/>
  <c r="AH58" i="11"/>
  <c r="AH64" i="11"/>
  <c r="AH63" i="11"/>
  <c r="AH57" i="11"/>
  <c r="AH69" i="11"/>
  <c r="AH71" i="11"/>
  <c r="AH73" i="11"/>
  <c r="AH72" i="11"/>
  <c r="AH59" i="11"/>
  <c r="AH62" i="11"/>
  <c r="AH67" i="11"/>
  <c r="AH70" i="11"/>
  <c r="AH74" i="11"/>
  <c r="AH60" i="11"/>
  <c r="AH68" i="11"/>
  <c r="AH66" i="11"/>
  <c r="AH87" i="11"/>
  <c r="AH78" i="11"/>
  <c r="AH82" i="11"/>
  <c r="AH61" i="11"/>
  <c r="AH76" i="11"/>
  <c r="AH80" i="11"/>
  <c r="AH84" i="11"/>
  <c r="K31" i="23"/>
  <c r="AH77" i="11"/>
  <c r="AH83" i="11"/>
  <c r="BF153" i="23"/>
  <c r="AH49" i="11"/>
  <c r="AH48" i="11" s="1"/>
  <c r="AH65" i="11"/>
  <c r="AH79" i="11"/>
  <c r="AH81" i="11"/>
  <c r="AH75" i="11"/>
  <c r="AH56" i="11"/>
  <c r="AE46" i="23"/>
  <c r="BE157" i="23" s="1"/>
  <c r="AH50" i="11"/>
  <c r="AG46" i="23"/>
  <c r="BH158" i="23" s="1"/>
  <c r="AH94" i="11"/>
  <c r="AM47" i="23"/>
  <c r="AM46" i="23"/>
  <c r="AH86" i="11"/>
  <c r="O59" i="11"/>
  <c r="O61" i="11"/>
  <c r="O60" i="11"/>
  <c r="O63" i="11"/>
  <c r="O73" i="11"/>
  <c r="O81" i="11"/>
  <c r="O57" i="11"/>
  <c r="O74" i="11"/>
  <c r="O82" i="11"/>
  <c r="O62" i="11"/>
  <c r="O78" i="11"/>
  <c r="O65" i="11"/>
  <c r="O69" i="11"/>
  <c r="O79" i="11"/>
  <c r="O55" i="11"/>
  <c r="O70" i="11"/>
  <c r="O80" i="11"/>
  <c r="O71" i="11"/>
  <c r="O83" i="11"/>
  <c r="O75" i="11"/>
  <c r="O85" i="11"/>
  <c r="O87" i="11"/>
  <c r="AE24" i="23"/>
  <c r="AS89" i="23" s="1"/>
  <c r="O67" i="11"/>
  <c r="O50" i="11"/>
  <c r="O56" i="11"/>
  <c r="O72" i="11"/>
  <c r="O76" i="11"/>
  <c r="O84" i="11"/>
  <c r="E19" i="23"/>
  <c r="O46" i="11"/>
  <c r="CC12" i="23"/>
  <c r="O77" i="11"/>
  <c r="O49" i="11"/>
  <c r="O48" i="11" s="1"/>
  <c r="O86" i="11"/>
  <c r="AD23" i="23"/>
  <c r="AI24" i="23"/>
  <c r="AG24" i="23"/>
  <c r="AX95" i="23" s="1"/>
  <c r="AM24" i="23"/>
  <c r="O64" i="11"/>
  <c r="O94" i="11"/>
  <c r="AM26" i="23"/>
  <c r="O68" i="11"/>
  <c r="AB58" i="11"/>
  <c r="AB60" i="11"/>
  <c r="AB66" i="11"/>
  <c r="AB59" i="11"/>
  <c r="AB61" i="11"/>
  <c r="AB68" i="11"/>
  <c r="AB67" i="11"/>
  <c r="AB62" i="11"/>
  <c r="AB63" i="11"/>
  <c r="AB65" i="11"/>
  <c r="AB69" i="11"/>
  <c r="AB71" i="11"/>
  <c r="AB73" i="11"/>
  <c r="AB57" i="11"/>
  <c r="AB64" i="11"/>
  <c r="AB72" i="11"/>
  <c r="AB55" i="11"/>
  <c r="AB76" i="11"/>
  <c r="AB80" i="11"/>
  <c r="AB81" i="11"/>
  <c r="AB46" i="11"/>
  <c r="AB70" i="11"/>
  <c r="AB74" i="11"/>
  <c r="AB82" i="11"/>
  <c r="AB83" i="11"/>
  <c r="AB84" i="11"/>
  <c r="AB86" i="11"/>
  <c r="I27" i="23"/>
  <c r="AD40" i="23"/>
  <c r="CP12" i="23"/>
  <c r="AZ155" i="23"/>
  <c r="AB75" i="11"/>
  <c r="AB85" i="11"/>
  <c r="AB56" i="11"/>
  <c r="AB50" i="11"/>
  <c r="AB77" i="11"/>
  <c r="AB87" i="11"/>
  <c r="AE39" i="23"/>
  <c r="AY147" i="23" s="1"/>
  <c r="AB49" i="11"/>
  <c r="AB48" i="11" s="1"/>
  <c r="AC46" i="11"/>
  <c r="AI39" i="23"/>
  <c r="AI38" i="23" s="1"/>
  <c r="BA145" i="23"/>
  <c r="AG39" i="23"/>
  <c r="BB152" i="23" s="1"/>
  <c r="AB78" i="11"/>
  <c r="AB94" i="11"/>
  <c r="AC56" i="11"/>
  <c r="AC62" i="11"/>
  <c r="AC65" i="11"/>
  <c r="AC58" i="11"/>
  <c r="AC55" i="11"/>
  <c r="AC70" i="11"/>
  <c r="AC59" i="11"/>
  <c r="AC60" i="11"/>
  <c r="AC61" i="11"/>
  <c r="AC66" i="11"/>
  <c r="AC68" i="11"/>
  <c r="AC67" i="11"/>
  <c r="AC63" i="11"/>
  <c r="AC69" i="11"/>
  <c r="AC71" i="11"/>
  <c r="AC73" i="11"/>
  <c r="AC64" i="11"/>
  <c r="AC75" i="11"/>
  <c r="AC77" i="11"/>
  <c r="AC79" i="11"/>
  <c r="AC57" i="11"/>
  <c r="AC76" i="11"/>
  <c r="AC82" i="11"/>
  <c r="AC72" i="11"/>
  <c r="AC74" i="11"/>
  <c r="AC83" i="11"/>
  <c r="AC84" i="11"/>
  <c r="AE40" i="23"/>
  <c r="AY157" i="23" s="1"/>
  <c r="AC86" i="11"/>
  <c r="AC85" i="11"/>
  <c r="AC87" i="11"/>
  <c r="AC50" i="11"/>
  <c r="AZ153" i="23"/>
  <c r="AC78" i="11"/>
  <c r="I31" i="23"/>
  <c r="AC49" i="11"/>
  <c r="AG40" i="23"/>
  <c r="BB158" i="23" s="1"/>
  <c r="AM41" i="23"/>
  <c r="AM40" i="23"/>
  <c r="AC94" i="11"/>
  <c r="AC81" i="11"/>
  <c r="K58" i="11"/>
  <c r="K64" i="11"/>
  <c r="K72" i="11"/>
  <c r="K80" i="11"/>
  <c r="K59" i="11"/>
  <c r="K65" i="11"/>
  <c r="K74" i="11"/>
  <c r="K83" i="11"/>
  <c r="K66" i="11"/>
  <c r="K75" i="11"/>
  <c r="K84" i="11"/>
  <c r="K63" i="11"/>
  <c r="K77" i="11"/>
  <c r="K67" i="11"/>
  <c r="K78" i="11"/>
  <c r="K68" i="11"/>
  <c r="K79" i="11"/>
  <c r="K69" i="11"/>
  <c r="K81" i="11"/>
  <c r="K71" i="11"/>
  <c r="K85" i="11"/>
  <c r="K61" i="11"/>
  <c r="K87" i="11"/>
  <c r="K70" i="11"/>
  <c r="K60" i="11"/>
  <c r="K73" i="11"/>
  <c r="K50" i="11"/>
  <c r="K82" i="11"/>
  <c r="AG19" i="23"/>
  <c r="BF27" i="23" s="1"/>
  <c r="K49" i="11"/>
  <c r="K48" i="11" s="1"/>
  <c r="K76" i="11"/>
  <c r="K86" i="11"/>
  <c r="BY12" i="23"/>
  <c r="C43" i="23"/>
  <c r="K46" i="11"/>
  <c r="AL19" i="23"/>
  <c r="AK19" i="23"/>
  <c r="BH20" i="23" s="1"/>
  <c r="K56" i="11"/>
  <c r="K94" i="11"/>
  <c r="K57" i="11"/>
  <c r="K55" i="11"/>
  <c r="V57" i="11"/>
  <c r="V60" i="11"/>
  <c r="V62" i="11"/>
  <c r="V59" i="11"/>
  <c r="V64" i="11"/>
  <c r="V56" i="11"/>
  <c r="V79" i="11"/>
  <c r="V87" i="11"/>
  <c r="V55" i="11"/>
  <c r="V70" i="11"/>
  <c r="V80" i="11"/>
  <c r="V58" i="11"/>
  <c r="V81" i="11"/>
  <c r="V82" i="11"/>
  <c r="V65" i="11"/>
  <c r="V67" i="11"/>
  <c r="V72" i="11"/>
  <c r="V76" i="11"/>
  <c r="V84" i="11"/>
  <c r="V69" i="11"/>
  <c r="V61" i="11"/>
  <c r="V75" i="11"/>
  <c r="V63" i="11"/>
  <c r="V71" i="11"/>
  <c r="V78" i="11"/>
  <c r="AD44" i="23"/>
  <c r="V85" i="11"/>
  <c r="AF32" i="23"/>
  <c r="AU136" i="23" s="1"/>
  <c r="AD38" i="23"/>
  <c r="V50" i="11"/>
  <c r="CJ12" i="23"/>
  <c r="V46" i="11"/>
  <c r="V68" i="11"/>
  <c r="AE32" i="23"/>
  <c r="AS136" i="23" s="1"/>
  <c r="V49" i="11"/>
  <c r="V48" i="11" s="1"/>
  <c r="V66" i="11"/>
  <c r="V83" i="11"/>
  <c r="G11" i="23"/>
  <c r="V86" i="11"/>
  <c r="AG32" i="23"/>
  <c r="AU141" i="23" s="1"/>
  <c r="V94" i="11"/>
  <c r="AH33" i="23"/>
  <c r="AJ36" i="23"/>
  <c r="V77" i="11"/>
  <c r="V74" i="11"/>
  <c r="W59" i="11"/>
  <c r="W61" i="11"/>
  <c r="W68" i="11"/>
  <c r="W63" i="11"/>
  <c r="W56" i="11"/>
  <c r="W57" i="11"/>
  <c r="W76" i="11"/>
  <c r="W55" i="11"/>
  <c r="W70" i="11"/>
  <c r="W58" i="11"/>
  <c r="W62" i="11"/>
  <c r="W66" i="11"/>
  <c r="W69" i="11"/>
  <c r="W71" i="11"/>
  <c r="W80" i="11"/>
  <c r="W75" i="11"/>
  <c r="W85" i="11"/>
  <c r="W72" i="11"/>
  <c r="W77" i="11"/>
  <c r="W86" i="11"/>
  <c r="AE33" i="23"/>
  <c r="AS147" i="23" s="1"/>
  <c r="G27" i="23"/>
  <c r="W65" i="11"/>
  <c r="W67" i="11"/>
  <c r="W78" i="11"/>
  <c r="W87" i="11"/>
  <c r="W79" i="11"/>
  <c r="W50" i="11"/>
  <c r="W49" i="11"/>
  <c r="W48" i="11" s="1"/>
  <c r="W81" i="11"/>
  <c r="AD34" i="23"/>
  <c r="AD39" i="23"/>
  <c r="W46" i="11"/>
  <c r="W60" i="11"/>
  <c r="W83" i="11"/>
  <c r="AD25" i="23"/>
  <c r="W82" i="11"/>
  <c r="W84" i="11"/>
  <c r="CK12" i="23"/>
  <c r="AD45" i="23"/>
  <c r="AT155" i="23"/>
  <c r="X46" i="11"/>
  <c r="W64" i="11"/>
  <c r="AI33" i="23"/>
  <c r="AI32" i="23" s="1"/>
  <c r="AU145" i="23"/>
  <c r="AG33" i="23"/>
  <c r="AV152" i="23" s="1"/>
  <c r="W73" i="11"/>
  <c r="W94" i="11"/>
  <c r="Y55" i="11"/>
  <c r="Y57" i="11"/>
  <c r="Y61" i="11"/>
  <c r="Y63" i="11"/>
  <c r="Y67" i="11"/>
  <c r="Y65" i="11"/>
  <c r="Y72" i="11"/>
  <c r="Y64" i="11"/>
  <c r="Y56" i="11"/>
  <c r="Y58" i="11"/>
  <c r="Y68" i="11"/>
  <c r="Y70" i="11"/>
  <c r="Y74" i="11"/>
  <c r="Y84" i="11"/>
  <c r="Y77" i="11"/>
  <c r="Y85" i="11"/>
  <c r="Y59" i="11"/>
  <c r="Y78" i="11"/>
  <c r="Y86" i="11"/>
  <c r="Y94" i="11"/>
  <c r="Y69" i="11"/>
  <c r="Y79" i="11"/>
  <c r="Y87" i="11"/>
  <c r="Y50" i="11"/>
  <c r="G35" i="23"/>
  <c r="Y80" i="11"/>
  <c r="Y71" i="11"/>
  <c r="Y73" i="11"/>
  <c r="Y82" i="11"/>
  <c r="CM12" i="23"/>
  <c r="Y62" i="11"/>
  <c r="Y46" i="11"/>
  <c r="Y60" i="11"/>
  <c r="AG35" i="23"/>
  <c r="AU164" i="23" s="1"/>
  <c r="Y81" i="11"/>
  <c r="Y49" i="11"/>
  <c r="Y83" i="11"/>
  <c r="Y66" i="11"/>
  <c r="AT159" i="23"/>
  <c r="AN34" i="23"/>
  <c r="AN35" i="23"/>
  <c r="Y75" i="11"/>
  <c r="J64" i="11"/>
  <c r="J72" i="11"/>
  <c r="J67" i="11"/>
  <c r="J76" i="11"/>
  <c r="J84" i="11"/>
  <c r="J70" i="11"/>
  <c r="J80" i="11"/>
  <c r="J71" i="11"/>
  <c r="J81" i="11"/>
  <c r="J66" i="11"/>
  <c r="J79" i="11"/>
  <c r="J68" i="11"/>
  <c r="J82" i="11"/>
  <c r="J69" i="11"/>
  <c r="J83" i="11"/>
  <c r="J73" i="11"/>
  <c r="J85" i="11"/>
  <c r="J62" i="11"/>
  <c r="J75" i="11"/>
  <c r="J87" i="11"/>
  <c r="J77" i="11"/>
  <c r="J78" i="11"/>
  <c r="AG18" i="23"/>
  <c r="BD27" i="23" s="1"/>
  <c r="C39" i="23"/>
  <c r="J58" i="11"/>
  <c r="J86" i="11"/>
  <c r="J60" i="11"/>
  <c r="J65" i="11"/>
  <c r="J46" i="11"/>
  <c r="BX12" i="23"/>
  <c r="J49" i="11"/>
  <c r="J63" i="11"/>
  <c r="J50" i="11"/>
  <c r="J59" i="11"/>
  <c r="J74" i="11"/>
  <c r="AK18" i="23"/>
  <c r="J94" i="11"/>
  <c r="J55" i="11"/>
  <c r="J56" i="11"/>
  <c r="AL18" i="23"/>
  <c r="J57" i="11"/>
  <c r="AE59" i="11"/>
  <c r="AE61" i="11"/>
  <c r="AE68" i="11"/>
  <c r="AE56" i="11"/>
  <c r="AE62" i="11"/>
  <c r="AE64" i="11"/>
  <c r="AE55" i="11"/>
  <c r="AE60" i="11"/>
  <c r="AE70" i="11"/>
  <c r="AE74" i="11"/>
  <c r="AE65" i="11"/>
  <c r="AE66" i="11"/>
  <c r="AE57" i="11"/>
  <c r="AE63" i="11"/>
  <c r="AE69" i="11"/>
  <c r="AE71" i="11"/>
  <c r="AE73" i="11"/>
  <c r="AE86" i="11"/>
  <c r="AE87" i="11"/>
  <c r="AG42" i="23"/>
  <c r="I47" i="23"/>
  <c r="AE75" i="11"/>
  <c r="AE77" i="11"/>
  <c r="AE81" i="11"/>
  <c r="AE76" i="11"/>
  <c r="AE80" i="11"/>
  <c r="AE67" i="11"/>
  <c r="AE72" i="11"/>
  <c r="AE84" i="11"/>
  <c r="AE83" i="11"/>
  <c r="AE46" i="11"/>
  <c r="AE85" i="11"/>
  <c r="AE58" i="11"/>
  <c r="AE49" i="11"/>
  <c r="AE48" i="11" s="1"/>
  <c r="CS12" i="23"/>
  <c r="AE50" i="11"/>
  <c r="AL42" i="23"/>
  <c r="AL39" i="23" s="1"/>
  <c r="BB147" i="23" s="1"/>
  <c r="AE94" i="11"/>
  <c r="AK42" i="23"/>
  <c r="AK38" i="23" s="1"/>
  <c r="BD144" i="23"/>
  <c r="AE78" i="11"/>
  <c r="AE79" i="11"/>
  <c r="R58" i="11"/>
  <c r="R64" i="11"/>
  <c r="R55" i="11"/>
  <c r="R56" i="11"/>
  <c r="R60" i="11"/>
  <c r="R68" i="11"/>
  <c r="R75" i="11"/>
  <c r="R83" i="11"/>
  <c r="R76" i="11"/>
  <c r="R84" i="11"/>
  <c r="R59" i="11"/>
  <c r="R61" i="11"/>
  <c r="R66" i="11"/>
  <c r="R77" i="11"/>
  <c r="R85" i="11"/>
  <c r="R62" i="11"/>
  <c r="R70" i="11"/>
  <c r="R78" i="11"/>
  <c r="R86" i="11"/>
  <c r="R72" i="11"/>
  <c r="R80" i="11"/>
  <c r="R73" i="11"/>
  <c r="R63" i="11"/>
  <c r="R65" i="11"/>
  <c r="R74" i="11"/>
  <c r="R79" i="11"/>
  <c r="R81" i="11"/>
  <c r="R50" i="11"/>
  <c r="E35" i="23"/>
  <c r="R82" i="11"/>
  <c r="R87" i="11"/>
  <c r="R49" i="11"/>
  <c r="R57" i="11"/>
  <c r="CF12" i="23"/>
  <c r="R46" i="11"/>
  <c r="R71" i="11"/>
  <c r="AG27" i="23"/>
  <c r="AU108" i="23" s="1"/>
  <c r="R94" i="11"/>
  <c r="AN27" i="23"/>
  <c r="AU104" i="23" s="1"/>
  <c r="AN25" i="23"/>
  <c r="R67" i="11"/>
  <c r="U56" i="11"/>
  <c r="U58" i="11"/>
  <c r="U59" i="11"/>
  <c r="U62" i="11"/>
  <c r="U57" i="11"/>
  <c r="U70" i="11"/>
  <c r="U77" i="11"/>
  <c r="U85" i="11"/>
  <c r="U78" i="11"/>
  <c r="U86" i="11"/>
  <c r="U79" i="11"/>
  <c r="U87" i="11"/>
  <c r="U68" i="11"/>
  <c r="U69" i="11"/>
  <c r="U71" i="11"/>
  <c r="U80" i="11"/>
  <c r="U60" i="11"/>
  <c r="U61" i="11"/>
  <c r="U74" i="11"/>
  <c r="U82" i="11"/>
  <c r="U76" i="11"/>
  <c r="U67" i="11"/>
  <c r="U81" i="11"/>
  <c r="U63" i="11"/>
  <c r="U83" i="11"/>
  <c r="U84" i="11"/>
  <c r="U50" i="11"/>
  <c r="E47" i="23"/>
  <c r="U73" i="11"/>
  <c r="U46" i="11"/>
  <c r="CI12" i="23"/>
  <c r="U75" i="11"/>
  <c r="U55" i="11"/>
  <c r="U49" i="11"/>
  <c r="AG30" i="23"/>
  <c r="BF91" i="23" s="1"/>
  <c r="AK30" i="23"/>
  <c r="BF84" i="23" s="1"/>
  <c r="U65" i="11"/>
  <c r="U64" i="11"/>
  <c r="U94" i="11"/>
  <c r="AL30" i="23"/>
  <c r="U66" i="11"/>
  <c r="AI56" i="11"/>
  <c r="AI57" i="11"/>
  <c r="AI59" i="11"/>
  <c r="AI63" i="11"/>
  <c r="AI65" i="11"/>
  <c r="AI61" i="11"/>
  <c r="AI66" i="11"/>
  <c r="AI69" i="11"/>
  <c r="AI71" i="11"/>
  <c r="AI73" i="11"/>
  <c r="AI58" i="11"/>
  <c r="AI72" i="11"/>
  <c r="AI60" i="11"/>
  <c r="AI68" i="11"/>
  <c r="AI62" i="11"/>
  <c r="AG47" i="23"/>
  <c r="BG164" i="23" s="1"/>
  <c r="AI55" i="11"/>
  <c r="AI64" i="11"/>
  <c r="AI78" i="11"/>
  <c r="AI82" i="11"/>
  <c r="AI70" i="11"/>
  <c r="AI94" i="11"/>
  <c r="AI74" i="11"/>
  <c r="AI75" i="11"/>
  <c r="AI77" i="11"/>
  <c r="AI79" i="11"/>
  <c r="AI81" i="11"/>
  <c r="AI83" i="11"/>
  <c r="AI67" i="11"/>
  <c r="AI50" i="11"/>
  <c r="CW12" i="23"/>
  <c r="AI49" i="11"/>
  <c r="AI48" i="11" s="1"/>
  <c r="AI46" i="11"/>
  <c r="AI76" i="11"/>
  <c r="AI84" i="11"/>
  <c r="AI87" i="11"/>
  <c r="K35" i="23"/>
  <c r="AI80" i="11"/>
  <c r="AN47" i="23"/>
  <c r="BF159" i="23"/>
  <c r="AN46" i="23"/>
  <c r="AI85" i="11"/>
  <c r="S56" i="11"/>
  <c r="S63" i="11"/>
  <c r="S58" i="11"/>
  <c r="S71" i="11"/>
  <c r="S79" i="11"/>
  <c r="S87" i="11"/>
  <c r="S68" i="11"/>
  <c r="S69" i="11"/>
  <c r="S72" i="11"/>
  <c r="S80" i="11"/>
  <c r="S67" i="11"/>
  <c r="S73" i="11"/>
  <c r="S81" i="11"/>
  <c r="S59" i="11"/>
  <c r="S60" i="11"/>
  <c r="S61" i="11"/>
  <c r="S74" i="11"/>
  <c r="S82" i="11"/>
  <c r="S55" i="11"/>
  <c r="S76" i="11"/>
  <c r="S84" i="11"/>
  <c r="S57" i="11"/>
  <c r="S78" i="11"/>
  <c r="S83" i="11"/>
  <c r="S50" i="11"/>
  <c r="S85" i="11"/>
  <c r="S86" i="11"/>
  <c r="AG28" i="23"/>
  <c r="BD91" i="23" s="1"/>
  <c r="S75" i="11"/>
  <c r="S62" i="11"/>
  <c r="S49" i="11"/>
  <c r="S77" i="11"/>
  <c r="E39" i="23"/>
  <c r="CG12" i="23"/>
  <c r="S46" i="11"/>
  <c r="AK28" i="23"/>
  <c r="AL28" i="23"/>
  <c r="S94" i="11"/>
  <c r="S65" i="11"/>
  <c r="S64" i="11"/>
  <c r="S66" i="11"/>
  <c r="AD56" i="11"/>
  <c r="AD57" i="11"/>
  <c r="AD60" i="11"/>
  <c r="AD58" i="11"/>
  <c r="AD62" i="11"/>
  <c r="AD55" i="11"/>
  <c r="AD64" i="11"/>
  <c r="AD65" i="11"/>
  <c r="AD70" i="11"/>
  <c r="AD74" i="11"/>
  <c r="AD59" i="11"/>
  <c r="AD61" i="11"/>
  <c r="AD66" i="11"/>
  <c r="AD68" i="11"/>
  <c r="AD67" i="11"/>
  <c r="AD72" i="11"/>
  <c r="AD82" i="11"/>
  <c r="I35" i="23"/>
  <c r="AD75" i="11"/>
  <c r="AD77" i="11"/>
  <c r="AD79" i="11"/>
  <c r="AD83" i="11"/>
  <c r="AD50" i="11"/>
  <c r="AD76" i="11"/>
  <c r="AD84" i="11"/>
  <c r="AD85" i="11"/>
  <c r="AG41" i="23"/>
  <c r="BA164" i="23" s="1"/>
  <c r="AD63" i="11"/>
  <c r="AD69" i="11"/>
  <c r="AD86" i="11"/>
  <c r="AD78" i="11"/>
  <c r="AD73" i="11"/>
  <c r="CR12" i="23"/>
  <c r="AD87" i="11"/>
  <c r="AD49" i="11"/>
  <c r="AD46" i="11"/>
  <c r="AD71" i="11"/>
  <c r="AD94" i="11"/>
  <c r="AN40" i="23"/>
  <c r="AN41" i="23"/>
  <c r="AZ159" i="23"/>
  <c r="AD80" i="11"/>
  <c r="Q59" i="11"/>
  <c r="Q56" i="11"/>
  <c r="Q58" i="11"/>
  <c r="Q60" i="11"/>
  <c r="Q71" i="11"/>
  <c r="Q67" i="11"/>
  <c r="Q72" i="11"/>
  <c r="Q80" i="11"/>
  <c r="Q70" i="11"/>
  <c r="Q81" i="11"/>
  <c r="Q61" i="11"/>
  <c r="Q73" i="11"/>
  <c r="Q82" i="11"/>
  <c r="Q62" i="11"/>
  <c r="Q74" i="11"/>
  <c r="Q83" i="11"/>
  <c r="Q63" i="11"/>
  <c r="Q65" i="11"/>
  <c r="Q75" i="11"/>
  <c r="Q84" i="11"/>
  <c r="Q57" i="11"/>
  <c r="Q77" i="11"/>
  <c r="Q86" i="11"/>
  <c r="E23" i="23"/>
  <c r="Q69" i="11"/>
  <c r="Q94" i="11"/>
  <c r="Q55" i="11"/>
  <c r="Q76" i="11"/>
  <c r="Q78" i="11"/>
  <c r="Q85" i="11"/>
  <c r="CE12" i="23"/>
  <c r="Q79" i="11"/>
  <c r="Q64" i="11"/>
  <c r="Q50" i="11"/>
  <c r="Q87" i="11"/>
  <c r="AG26" i="23"/>
  <c r="AX99" i="23" s="1"/>
  <c r="Q46" i="11"/>
  <c r="Q49" i="11"/>
  <c r="AN24" i="23"/>
  <c r="AN26" i="23"/>
  <c r="AY96" i="23" s="1"/>
  <c r="Q66" i="11"/>
  <c r="AA56" i="11"/>
  <c r="AA63" i="11"/>
  <c r="AA65" i="11"/>
  <c r="AA60" i="11"/>
  <c r="AA66" i="11"/>
  <c r="AA57" i="11"/>
  <c r="AA67" i="11"/>
  <c r="AA62" i="11"/>
  <c r="AA69" i="11"/>
  <c r="AA71" i="11"/>
  <c r="AA73" i="11"/>
  <c r="AA64" i="11"/>
  <c r="AA72" i="11"/>
  <c r="AA70" i="11"/>
  <c r="AA74" i="11"/>
  <c r="AA83" i="11"/>
  <c r="AA84" i="11"/>
  <c r="AA59" i="11"/>
  <c r="AA61" i="11"/>
  <c r="AA85" i="11"/>
  <c r="AE38" i="23"/>
  <c r="AY136" i="23" s="1"/>
  <c r="AA86" i="11"/>
  <c r="AF38" i="23"/>
  <c r="BA136" i="23" s="1"/>
  <c r="AA58" i="11"/>
  <c r="AA75" i="11"/>
  <c r="AA77" i="11"/>
  <c r="AA80" i="11"/>
  <c r="AA87" i="11"/>
  <c r="AA76" i="11"/>
  <c r="AA49" i="11"/>
  <c r="AA48" i="11" s="1"/>
  <c r="CO12" i="23"/>
  <c r="AA55" i="11"/>
  <c r="AA68" i="11"/>
  <c r="AA50" i="11"/>
  <c r="AA46" i="11"/>
  <c r="AA81" i="11"/>
  <c r="I11" i="23"/>
  <c r="AG38" i="23"/>
  <c r="BA141" i="23" s="1"/>
  <c r="AA94" i="11"/>
  <c r="AJ42" i="23"/>
  <c r="AH39" i="23"/>
  <c r="AA79" i="11"/>
  <c r="AA82" i="11"/>
  <c r="F67" i="11"/>
  <c r="F75" i="11"/>
  <c r="F83" i="11"/>
  <c r="F56" i="11"/>
  <c r="F65" i="11"/>
  <c r="F74" i="11"/>
  <c r="F84" i="11"/>
  <c r="F68" i="11"/>
  <c r="F78" i="11"/>
  <c r="F58" i="11"/>
  <c r="F69" i="11"/>
  <c r="F79" i="11"/>
  <c r="F71" i="11"/>
  <c r="F85" i="11"/>
  <c r="F60" i="11"/>
  <c r="F72" i="11"/>
  <c r="F86" i="11"/>
  <c r="F61" i="11"/>
  <c r="F73" i="11"/>
  <c r="F87" i="11"/>
  <c r="F62" i="11"/>
  <c r="F76" i="11"/>
  <c r="F64" i="11"/>
  <c r="F80" i="11"/>
  <c r="F81" i="11"/>
  <c r="AD13" i="23"/>
  <c r="F82" i="11"/>
  <c r="F46" i="11"/>
  <c r="F63" i="11"/>
  <c r="AD15" i="23"/>
  <c r="F70" i="11"/>
  <c r="F50" i="11"/>
  <c r="F49" i="11"/>
  <c r="F66" i="11"/>
  <c r="C19" i="23"/>
  <c r="F77" i="11"/>
  <c r="BT12" i="23"/>
  <c r="AI14" i="23"/>
  <c r="AX21" i="23" s="1"/>
  <c r="F55" i="11"/>
  <c r="AG14" i="23"/>
  <c r="AX31" i="23" s="1"/>
  <c r="F94" i="11"/>
  <c r="AM14" i="23"/>
  <c r="AM16" i="23"/>
  <c r="F59" i="11"/>
  <c r="P56" i="11"/>
  <c r="P57" i="11"/>
  <c r="P71" i="11"/>
  <c r="P79" i="11"/>
  <c r="P87" i="11"/>
  <c r="P61" i="11"/>
  <c r="P63" i="11"/>
  <c r="P72" i="11"/>
  <c r="P80" i="11"/>
  <c r="P58" i="11"/>
  <c r="P66" i="11"/>
  <c r="P68" i="11"/>
  <c r="P78" i="11"/>
  <c r="P59" i="11"/>
  <c r="P62" i="11"/>
  <c r="P81" i="11"/>
  <c r="P60" i="11"/>
  <c r="P65" i="11"/>
  <c r="P70" i="11"/>
  <c r="P82" i="11"/>
  <c r="P55" i="11"/>
  <c r="P73" i="11"/>
  <c r="P83" i="11"/>
  <c r="P75" i="11"/>
  <c r="P85" i="11"/>
  <c r="P76" i="11"/>
  <c r="AE25" i="23"/>
  <c r="AS90" i="23" s="1"/>
  <c r="P77" i="11"/>
  <c r="E27" i="23"/>
  <c r="P84" i="11"/>
  <c r="P86" i="11"/>
  <c r="AD33" i="23"/>
  <c r="P74" i="11"/>
  <c r="P50" i="11"/>
  <c r="P46" i="11"/>
  <c r="CD12" i="23"/>
  <c r="P49" i="11"/>
  <c r="AI25" i="23"/>
  <c r="AU85" i="23" s="1"/>
  <c r="AG25" i="23"/>
  <c r="AU97" i="23" s="1"/>
  <c r="AM27" i="23"/>
  <c r="AM25" i="23"/>
  <c r="P94" i="11"/>
  <c r="P64" i="11"/>
  <c r="P69" i="11"/>
  <c r="M57" i="11"/>
  <c r="M78" i="11"/>
  <c r="M86" i="11"/>
  <c r="M61" i="11"/>
  <c r="M76" i="11"/>
  <c r="M85" i="11"/>
  <c r="M55" i="11"/>
  <c r="M68" i="11"/>
  <c r="M77" i="11"/>
  <c r="M87" i="11"/>
  <c r="M75" i="11"/>
  <c r="M60" i="11"/>
  <c r="M63" i="11"/>
  <c r="M79" i="11"/>
  <c r="M80" i="11"/>
  <c r="M69" i="11"/>
  <c r="M81" i="11"/>
  <c r="M83" i="11"/>
  <c r="M59" i="11"/>
  <c r="AF22" i="23"/>
  <c r="AZ72" i="23" s="1"/>
  <c r="AD32" i="23"/>
  <c r="AD12" i="23"/>
  <c r="M56" i="11"/>
  <c r="M58" i="11"/>
  <c r="M62" i="11"/>
  <c r="M73" i="11"/>
  <c r="M50" i="11"/>
  <c r="M82" i="11"/>
  <c r="M74" i="11"/>
  <c r="M49" i="11"/>
  <c r="M48" i="11" s="1"/>
  <c r="CA12" i="23"/>
  <c r="M84" i="11"/>
  <c r="E11" i="23"/>
  <c r="M46" i="11"/>
  <c r="AE22" i="23"/>
  <c r="AU74" i="23" s="1"/>
  <c r="AG22" i="23"/>
  <c r="AX72" i="23" s="1"/>
  <c r="M94" i="11"/>
  <c r="AJ30" i="23"/>
  <c r="AJ29" i="23"/>
  <c r="AJ28" i="23"/>
  <c r="AH25" i="23"/>
  <c r="AU87" i="23" s="1"/>
  <c r="AH24" i="23"/>
  <c r="AX87" i="23" s="1"/>
  <c r="AH23" i="23"/>
  <c r="M66" i="11"/>
  <c r="M67" i="11"/>
  <c r="M65" i="11"/>
  <c r="M72" i="11"/>
  <c r="M71" i="11"/>
  <c r="M70" i="11"/>
  <c r="Z58" i="11"/>
  <c r="Z56" i="11"/>
  <c r="Z57" i="11"/>
  <c r="Z59" i="11"/>
  <c r="Z64" i="11"/>
  <c r="Z61" i="11"/>
  <c r="Z60" i="11"/>
  <c r="Z62" i="11"/>
  <c r="Z66" i="11"/>
  <c r="Z69" i="11"/>
  <c r="Z71" i="11"/>
  <c r="Z63" i="11"/>
  <c r="Z65" i="11"/>
  <c r="Z72" i="11"/>
  <c r="Z70" i="11"/>
  <c r="Z78" i="11"/>
  <c r="Z86" i="11"/>
  <c r="Z79" i="11"/>
  <c r="Z87" i="11"/>
  <c r="Z50" i="11"/>
  <c r="Z80" i="11"/>
  <c r="Z67" i="11"/>
  <c r="Z81" i="11"/>
  <c r="AG36" i="23"/>
  <c r="AX151" i="23" s="1"/>
  <c r="Z82" i="11"/>
  <c r="G47" i="23"/>
  <c r="Z55" i="11"/>
  <c r="Z68" i="11"/>
  <c r="Z76" i="11"/>
  <c r="Z84" i="11"/>
  <c r="CN12" i="23"/>
  <c r="Z75" i="11"/>
  <c r="Z83" i="11"/>
  <c r="Z85" i="11"/>
  <c r="Z46" i="11"/>
  <c r="Z49" i="11"/>
  <c r="Z48" i="11" s="1"/>
  <c r="AL36" i="23"/>
  <c r="AL33" i="23" s="1"/>
  <c r="AV147" i="23" s="1"/>
  <c r="Z94" i="11"/>
  <c r="AX144" i="23"/>
  <c r="AK36" i="23"/>
  <c r="AK32" i="23" s="1"/>
  <c r="Z74" i="11"/>
  <c r="Z73" i="11"/>
  <c r="AJ57" i="11"/>
  <c r="AJ55" i="11"/>
  <c r="AJ61" i="11"/>
  <c r="AJ66" i="11"/>
  <c r="AJ56" i="11"/>
  <c r="AJ64" i="11"/>
  <c r="AJ69" i="11"/>
  <c r="AJ71" i="11"/>
  <c r="AJ73" i="11"/>
  <c r="AJ58" i="11"/>
  <c r="AJ72" i="11"/>
  <c r="AJ76" i="11"/>
  <c r="AJ80" i="11"/>
  <c r="K47" i="23"/>
  <c r="AJ60" i="11"/>
  <c r="AJ68" i="11"/>
  <c r="AJ62" i="11"/>
  <c r="AJ59" i="11"/>
  <c r="AJ78" i="11"/>
  <c r="AJ82" i="11"/>
  <c r="AJ86" i="11"/>
  <c r="AJ63" i="11"/>
  <c r="AJ65" i="11"/>
  <c r="AJ67" i="11"/>
  <c r="AJ49" i="11"/>
  <c r="AJ48" i="11" s="1"/>
  <c r="CX12" i="23"/>
  <c r="AJ77" i="11"/>
  <c r="AJ70" i="11"/>
  <c r="AJ79" i="11"/>
  <c r="AJ81" i="11"/>
  <c r="AJ50" i="11"/>
  <c r="AJ46" i="11"/>
  <c r="AG48" i="23"/>
  <c r="BJ151" i="23" s="1"/>
  <c r="AJ85" i="11"/>
  <c r="AJ74" i="11"/>
  <c r="AJ75" i="11"/>
  <c r="AL48" i="23"/>
  <c r="AL45" i="23" s="1"/>
  <c r="BH147" i="23" s="1"/>
  <c r="AK48" i="23"/>
  <c r="AK44" i="23" s="1"/>
  <c r="AJ94" i="11"/>
  <c r="BJ144" i="23"/>
  <c r="AJ83" i="11"/>
  <c r="AJ84" i="11"/>
  <c r="G64" i="11"/>
  <c r="G72" i="11"/>
  <c r="G80" i="11"/>
  <c r="G61" i="11"/>
  <c r="G70" i="11"/>
  <c r="G79" i="11"/>
  <c r="G71" i="11"/>
  <c r="G82" i="11"/>
  <c r="G56" i="11"/>
  <c r="G62" i="11"/>
  <c r="G73" i="11"/>
  <c r="G83" i="11"/>
  <c r="G57" i="11"/>
  <c r="G67" i="11"/>
  <c r="G81" i="11"/>
  <c r="G68" i="11"/>
  <c r="G84" i="11"/>
  <c r="G69" i="11"/>
  <c r="G85" i="11"/>
  <c r="G74" i="11"/>
  <c r="G86" i="11"/>
  <c r="G63" i="11"/>
  <c r="G76" i="11"/>
  <c r="G59" i="11"/>
  <c r="G65" i="11"/>
  <c r="G66" i="11"/>
  <c r="G75" i="11"/>
  <c r="G77" i="11"/>
  <c r="G87" i="11"/>
  <c r="AE15" i="23"/>
  <c r="AS26" i="23" s="1"/>
  <c r="G50" i="11"/>
  <c r="G49" i="11"/>
  <c r="C27" i="23"/>
  <c r="G46" i="11"/>
  <c r="G78" i="11"/>
  <c r="BU12" i="23"/>
  <c r="AI15" i="23"/>
  <c r="AU21" i="23" s="1"/>
  <c r="AM15" i="23"/>
  <c r="AM17" i="23"/>
  <c r="AG15" i="23"/>
  <c r="AU33" i="23" s="1"/>
  <c r="G55" i="11"/>
  <c r="G94" i="11"/>
  <c r="G60" i="11"/>
  <c r="I62" i="11"/>
  <c r="I70" i="11"/>
  <c r="I78" i="11"/>
  <c r="I86" i="11"/>
  <c r="I66" i="11"/>
  <c r="I75" i="11"/>
  <c r="I84" i="11"/>
  <c r="I61" i="11"/>
  <c r="I72" i="11"/>
  <c r="I82" i="11"/>
  <c r="I63" i="11"/>
  <c r="I73" i="11"/>
  <c r="I83" i="11"/>
  <c r="I65" i="11"/>
  <c r="I79" i="11"/>
  <c r="I67" i="11"/>
  <c r="I80" i="11"/>
  <c r="I56" i="11"/>
  <c r="I57" i="11"/>
  <c r="I68" i="11"/>
  <c r="I81" i="11"/>
  <c r="I55" i="11"/>
  <c r="I69" i="11"/>
  <c r="I85" i="11"/>
  <c r="I59" i="11"/>
  <c r="I74" i="11"/>
  <c r="C35" i="23"/>
  <c r="I50" i="11"/>
  <c r="I64" i="11"/>
  <c r="I94" i="11"/>
  <c r="I71" i="11"/>
  <c r="AG17" i="23"/>
  <c r="AU44" i="23" s="1"/>
  <c r="I76" i="11"/>
  <c r="I87" i="11"/>
  <c r="I46" i="11"/>
  <c r="I49" i="11"/>
  <c r="I77" i="11"/>
  <c r="BW12" i="23"/>
  <c r="AN17" i="23"/>
  <c r="AU40" i="23" s="1"/>
  <c r="AN15" i="23"/>
  <c r="I58" i="11"/>
  <c r="T57" i="11"/>
  <c r="T55" i="11"/>
  <c r="T62" i="11"/>
  <c r="T77" i="11"/>
  <c r="T85" i="11"/>
  <c r="T58" i="11"/>
  <c r="T78" i="11"/>
  <c r="T86" i="11"/>
  <c r="T68" i="11"/>
  <c r="T69" i="11"/>
  <c r="T79" i="11"/>
  <c r="T87" i="11"/>
  <c r="T67" i="11"/>
  <c r="T72" i="11"/>
  <c r="T80" i="11"/>
  <c r="T63" i="11"/>
  <c r="T74" i="11"/>
  <c r="T82" i="11"/>
  <c r="AG29" i="23"/>
  <c r="BH91" i="23" s="1"/>
  <c r="T59" i="11"/>
  <c r="T61" i="11"/>
  <c r="T73" i="11"/>
  <c r="T75" i="11"/>
  <c r="E43" i="23"/>
  <c r="T56" i="11"/>
  <c r="T76" i="11"/>
  <c r="T83" i="11"/>
  <c r="T50" i="11"/>
  <c r="T70" i="11"/>
  <c r="T60" i="11"/>
  <c r="T49" i="11"/>
  <c r="T46" i="11"/>
  <c r="T81" i="11"/>
  <c r="CH12" i="23"/>
  <c r="T84" i="11"/>
  <c r="AK29" i="23"/>
  <c r="BH84" i="23" s="1"/>
  <c r="T64" i="11"/>
  <c r="AL29" i="23"/>
  <c r="T65" i="11"/>
  <c r="T94" i="11"/>
  <c r="T66" i="11"/>
  <c r="AF59" i="11"/>
  <c r="AF67" i="11"/>
  <c r="AF68" i="11"/>
  <c r="AF58" i="11"/>
  <c r="AF55" i="11"/>
  <c r="AF60" i="11"/>
  <c r="AF61" i="11"/>
  <c r="AF62" i="11"/>
  <c r="AF70" i="11"/>
  <c r="AF56" i="11"/>
  <c r="AF64" i="11"/>
  <c r="AF66" i="11"/>
  <c r="AF71" i="11"/>
  <c r="AF73" i="11"/>
  <c r="AF78" i="11"/>
  <c r="AF82" i="11"/>
  <c r="AF85" i="11"/>
  <c r="AE44" i="23"/>
  <c r="BE136" i="23" s="1"/>
  <c r="AF57" i="11"/>
  <c r="AF86" i="11"/>
  <c r="AF75" i="11"/>
  <c r="AF77" i="11"/>
  <c r="AF79" i="11"/>
  <c r="AF81" i="11"/>
  <c r="AF65" i="11"/>
  <c r="AF74" i="11"/>
  <c r="AF76" i="11"/>
  <c r="AF80" i="11"/>
  <c r="AF72" i="11"/>
  <c r="AF49" i="11"/>
  <c r="AF48" i="11" s="1"/>
  <c r="AF44" i="23"/>
  <c r="BG136" i="23" s="1"/>
  <c r="AF63" i="11"/>
  <c r="AF50" i="11"/>
  <c r="AF69" i="11"/>
  <c r="K11" i="23"/>
  <c r="AF46" i="11"/>
  <c r="CT12" i="23"/>
  <c r="AG44" i="23"/>
  <c r="BG141" i="23" s="1"/>
  <c r="AF94" i="11"/>
  <c r="AJ48" i="23"/>
  <c r="AH45" i="23"/>
  <c r="AF87" i="11"/>
  <c r="AF84" i="11"/>
  <c r="X60" i="11"/>
  <c r="X61" i="11"/>
  <c r="X63" i="11"/>
  <c r="X67" i="11"/>
  <c r="X55" i="11"/>
  <c r="X68" i="11"/>
  <c r="X64" i="11"/>
  <c r="X56" i="11"/>
  <c r="X57" i="11"/>
  <c r="X70" i="11"/>
  <c r="X74" i="11"/>
  <c r="X59" i="11"/>
  <c r="X84" i="11"/>
  <c r="X77" i="11"/>
  <c r="X85" i="11"/>
  <c r="X50" i="11"/>
  <c r="X69" i="11"/>
  <c r="X72" i="11"/>
  <c r="X78" i="11"/>
  <c r="X86" i="11"/>
  <c r="X65" i="11"/>
  <c r="X79" i="11"/>
  <c r="X87" i="11"/>
  <c r="X80" i="11"/>
  <c r="X49" i="11"/>
  <c r="X48" i="11" s="1"/>
  <c r="X62" i="11"/>
  <c r="X66" i="11"/>
  <c r="X82" i="11"/>
  <c r="AE34" i="23"/>
  <c r="AS157" i="23" s="1"/>
  <c r="X73" i="11"/>
  <c r="AT153" i="23"/>
  <c r="X58" i="11"/>
  <c r="X71" i="11"/>
  <c r="X81" i="11"/>
  <c r="G31" i="23"/>
  <c r="X83" i="11"/>
  <c r="AG34" i="23"/>
  <c r="AV158" i="23" s="1"/>
  <c r="X94" i="11"/>
  <c r="AM35" i="23"/>
  <c r="AM34" i="23"/>
  <c r="X76" i="11"/>
  <c r="D71" i="11"/>
  <c r="D79" i="11"/>
  <c r="D87" i="11"/>
  <c r="D59" i="11"/>
  <c r="D68" i="11"/>
  <c r="D77" i="11"/>
  <c r="D86" i="11"/>
  <c r="D69" i="11"/>
  <c r="D80" i="11"/>
  <c r="D65" i="11"/>
  <c r="D76" i="11"/>
  <c r="D66" i="11"/>
  <c r="D78" i="11"/>
  <c r="D73" i="11"/>
  <c r="D60" i="11"/>
  <c r="D74" i="11"/>
  <c r="D75" i="11"/>
  <c r="D81" i="11"/>
  <c r="D67" i="11"/>
  <c r="D83" i="11"/>
  <c r="D84" i="11"/>
  <c r="D85" i="11"/>
  <c r="AE12" i="23"/>
  <c r="AU10" i="23" s="1"/>
  <c r="AF12" i="23"/>
  <c r="C11" i="23"/>
  <c r="D50" i="11"/>
  <c r="D64" i="11"/>
  <c r="D72" i="11"/>
  <c r="AD22" i="23"/>
  <c r="C45" i="11"/>
  <c r="D70" i="11"/>
  <c r="D49" i="11"/>
  <c r="BR12" i="23"/>
  <c r="D46" i="11"/>
  <c r="D82" i="11"/>
  <c r="AG12" i="23"/>
  <c r="D94" i="11"/>
  <c r="AH14" i="23"/>
  <c r="AX23" i="23" s="1"/>
  <c r="AJ19" i="23"/>
  <c r="AH13" i="23"/>
  <c r="AH15" i="23"/>
  <c r="AU23" i="23" s="1"/>
  <c r="AJ20" i="23"/>
  <c r="AJ18" i="23"/>
  <c r="D57" i="11"/>
  <c r="D63" i="11"/>
  <c r="D56" i="11"/>
  <c r="D62" i="11"/>
  <c r="D61" i="11"/>
  <c r="D58" i="11"/>
  <c r="E63" i="11"/>
  <c r="E71" i="11"/>
  <c r="E79" i="11"/>
  <c r="E87" i="11"/>
  <c r="E59" i="11"/>
  <c r="E68" i="11"/>
  <c r="E77" i="11"/>
  <c r="E86" i="11"/>
  <c r="E57" i="11"/>
  <c r="E67" i="11"/>
  <c r="E78" i="11"/>
  <c r="E61" i="11"/>
  <c r="E73" i="11"/>
  <c r="E84" i="11"/>
  <c r="E62" i="11"/>
  <c r="E74" i="11"/>
  <c r="E85" i="11"/>
  <c r="E72" i="11"/>
  <c r="E58" i="11"/>
  <c r="E75" i="11"/>
  <c r="E60" i="11"/>
  <c r="E76" i="11"/>
  <c r="E64" i="11"/>
  <c r="E80" i="11"/>
  <c r="E66" i="11"/>
  <c r="E82" i="11"/>
  <c r="E65" i="11"/>
  <c r="E69" i="11"/>
  <c r="E50" i="11"/>
  <c r="E70" i="11"/>
  <c r="E81" i="11"/>
  <c r="E83" i="11"/>
  <c r="C15" i="23"/>
  <c r="AE13" i="23"/>
  <c r="AS24" i="23" s="1"/>
  <c r="E49" i="11"/>
  <c r="E48" i="11" s="1"/>
  <c r="AI13" i="23"/>
  <c r="AG13" i="23"/>
  <c r="BA27" i="23" s="1"/>
  <c r="E55" i="11"/>
  <c r="E94" i="11"/>
  <c r="S48" i="11" l="1"/>
  <c r="U48" i="11"/>
  <c r="AC48" i="11"/>
  <c r="C46" i="11"/>
  <c r="T48" i="11"/>
  <c r="G48" i="11"/>
  <c r="Q48" i="11"/>
  <c r="BF22" i="23"/>
  <c r="AJ22" i="23"/>
  <c r="BD86" i="23"/>
  <c r="BA173" i="23"/>
  <c r="I28" i="23"/>
  <c r="I29" i="23"/>
  <c r="AO46" i="23"/>
  <c r="BF157" i="23"/>
  <c r="C49" i="23"/>
  <c r="C48" i="23"/>
  <c r="E17" i="23"/>
  <c r="E16" i="23"/>
  <c r="G58" i="11"/>
  <c r="G92" i="11" s="1"/>
  <c r="C51" i="23"/>
  <c r="D47" i="23" s="1"/>
  <c r="BH31" i="23" s="1"/>
  <c r="C12" i="23"/>
  <c r="C13" i="23"/>
  <c r="X75" i="11"/>
  <c r="X92" i="11" s="1"/>
  <c r="AC80" i="11"/>
  <c r="AC92" i="11" s="1"/>
  <c r="T71" i="11"/>
  <c r="T92" i="11" s="1"/>
  <c r="BH86" i="23"/>
  <c r="AA51" i="11"/>
  <c r="V11" i="23" s="1"/>
  <c r="P11" i="23"/>
  <c r="AE51" i="11"/>
  <c r="V47" i="23" s="1"/>
  <c r="P49" i="23"/>
  <c r="P48" i="23" s="1"/>
  <c r="P47" i="23"/>
  <c r="AF42" i="23"/>
  <c r="BD164" i="23" s="1"/>
  <c r="AO34" i="23"/>
  <c r="AT157" i="23"/>
  <c r="AZ161" i="23"/>
  <c r="P27" i="23"/>
  <c r="P28" i="23" s="1"/>
  <c r="P29" i="23" s="1"/>
  <c r="AB51" i="11"/>
  <c r="V27" i="23" s="1"/>
  <c r="E20" i="23"/>
  <c r="E21" i="23"/>
  <c r="BF161" i="23"/>
  <c r="H51" i="11"/>
  <c r="S23" i="23" s="1"/>
  <c r="AF16" i="23"/>
  <c r="AX47" i="23" s="1"/>
  <c r="M25" i="23"/>
  <c r="M24" i="23" s="1"/>
  <c r="M23" i="23"/>
  <c r="AZ55" i="23" s="1"/>
  <c r="AX89" i="23"/>
  <c r="AH12" i="23"/>
  <c r="BA23" i="23"/>
  <c r="BF86" i="23"/>
  <c r="AZ173" i="23"/>
  <c r="G28" i="23"/>
  <c r="G29" i="23"/>
  <c r="BA85" i="23"/>
  <c r="AI22" i="23"/>
  <c r="AT136" i="23"/>
  <c r="AJ38" i="23"/>
  <c r="BD151" i="23"/>
  <c r="BD146" i="23"/>
  <c r="AD48" i="11"/>
  <c r="AK22" i="23"/>
  <c r="BD84" i="23"/>
  <c r="AF47" i="23"/>
  <c r="BH164" i="23" s="1"/>
  <c r="Q35" i="23"/>
  <c r="Q37" i="23"/>
  <c r="Q36" i="23" s="1"/>
  <c r="AI51" i="11"/>
  <c r="W35" i="23" s="1"/>
  <c r="R48" i="11"/>
  <c r="AH32" i="23"/>
  <c r="AU147" i="23"/>
  <c r="BF136" i="23"/>
  <c r="K51" i="11"/>
  <c r="S43" i="23" s="1"/>
  <c r="M43" i="23"/>
  <c r="AZ58" i="23" s="1"/>
  <c r="M45" i="23"/>
  <c r="M44" i="23" s="1"/>
  <c r="AF19" i="23"/>
  <c r="BH47" i="23" s="1"/>
  <c r="D15" i="23"/>
  <c r="BB27" i="23" s="1"/>
  <c r="C16" i="23"/>
  <c r="D16" i="23" s="1"/>
  <c r="C17" i="23"/>
  <c r="D17" i="23" s="1"/>
  <c r="M11" i="23"/>
  <c r="D51" i="11"/>
  <c r="S11" i="23" s="1"/>
  <c r="N65" i="11"/>
  <c r="N92" i="11" s="1"/>
  <c r="I48" i="23"/>
  <c r="BA176" i="23"/>
  <c r="I49" i="23"/>
  <c r="AF35" i="23"/>
  <c r="AV164" i="23" s="1"/>
  <c r="O37" i="23"/>
  <c r="O36" i="23" s="1"/>
  <c r="O35" i="23"/>
  <c r="Y51" i="11"/>
  <c r="U35" i="23" s="1"/>
  <c r="C49" i="11"/>
  <c r="D48" i="11"/>
  <c r="R69" i="11"/>
  <c r="R92" i="11" s="1"/>
  <c r="AH38" i="23"/>
  <c r="AO38" i="23" s="1"/>
  <c r="BA147" i="23"/>
  <c r="AL23" i="23"/>
  <c r="BB87" i="23" s="1"/>
  <c r="AL24" i="23"/>
  <c r="AO24" i="23" s="1"/>
  <c r="AJ32" i="23"/>
  <c r="AX146" i="23"/>
  <c r="D55" i="11"/>
  <c r="S70" i="11"/>
  <c r="S92" i="11" s="1"/>
  <c r="K51" i="23"/>
  <c r="L27" i="23" s="1"/>
  <c r="BH150" i="23" s="1"/>
  <c r="BB172" i="23"/>
  <c r="K12" i="23"/>
  <c r="K13" i="23"/>
  <c r="T51" i="11"/>
  <c r="T43" i="23" s="1"/>
  <c r="N45" i="23"/>
  <c r="N44" i="23" s="1"/>
  <c r="N43" i="23"/>
  <c r="AZ123" i="23" s="1"/>
  <c r="AF29" i="23"/>
  <c r="BH111" i="23" s="1"/>
  <c r="Z51" i="11"/>
  <c r="U47" i="23" s="1"/>
  <c r="O49" i="23"/>
  <c r="O48" i="23" s="1"/>
  <c r="O47" i="23"/>
  <c r="AF36" i="23"/>
  <c r="AX164" i="23" s="1"/>
  <c r="AD14" i="23"/>
  <c r="M15" i="23"/>
  <c r="E51" i="11"/>
  <c r="S15" i="23" s="1"/>
  <c r="E56" i="11"/>
  <c r="E93" i="11" s="1"/>
  <c r="G8" i="20"/>
  <c r="G11" i="20"/>
  <c r="F11" i="20"/>
  <c r="G10" i="20" s="1"/>
  <c r="AH85" i="11"/>
  <c r="AH92" i="11" s="1"/>
  <c r="V73" i="11"/>
  <c r="V93" i="11" s="1"/>
  <c r="Z77" i="11"/>
  <c r="Z92" i="11" s="1"/>
  <c r="AT161" i="23"/>
  <c r="I48" i="11"/>
  <c r="M37" i="23"/>
  <c r="M36" i="23" s="1"/>
  <c r="AF17" i="23"/>
  <c r="AV47" i="23" s="1"/>
  <c r="M35" i="23"/>
  <c r="AZ56" i="23" s="1"/>
  <c r="I51" i="11"/>
  <c r="S35" i="23" s="1"/>
  <c r="AU42" i="23"/>
  <c r="M27" i="23"/>
  <c r="G51" i="11"/>
  <c r="S27" i="23" s="1"/>
  <c r="AU106" i="23"/>
  <c r="AT147" i="23"/>
  <c r="AO33" i="23"/>
  <c r="E24" i="23"/>
  <c r="E25" i="23"/>
  <c r="BA175" i="23"/>
  <c r="I37" i="23"/>
  <c r="I36" i="23"/>
  <c r="K37" i="23"/>
  <c r="BB175" i="23"/>
  <c r="K36" i="23"/>
  <c r="Y48" i="11"/>
  <c r="AU90" i="23"/>
  <c r="AO25" i="23"/>
  <c r="W51" i="11"/>
  <c r="U27" i="23" s="1"/>
  <c r="O27" i="23"/>
  <c r="O28" i="23" s="1"/>
  <c r="O29" i="23" s="1"/>
  <c r="C45" i="23"/>
  <c r="D45" i="23" s="1"/>
  <c r="C44" i="23"/>
  <c r="D44" i="23" s="1"/>
  <c r="D43" i="23"/>
  <c r="BF31" i="23" s="1"/>
  <c r="BA174" i="23"/>
  <c r="I33" i="23"/>
  <c r="I32" i="23"/>
  <c r="AH51" i="11"/>
  <c r="W31" i="23" s="1"/>
  <c r="Q31" i="23"/>
  <c r="Q32" i="23" s="1"/>
  <c r="Q33" i="23" s="1"/>
  <c r="L51" i="11"/>
  <c r="S47" i="23" s="1"/>
  <c r="M49" i="23"/>
  <c r="M48" i="23" s="1"/>
  <c r="M47" i="23"/>
  <c r="AZ59" i="23" s="1"/>
  <c r="AF20" i="23"/>
  <c r="BF47" i="23" s="1"/>
  <c r="H48" i="11"/>
  <c r="AZ174" i="23"/>
  <c r="G33" i="23"/>
  <c r="G32" i="23"/>
  <c r="AZ136" i="23"/>
  <c r="J61" i="11"/>
  <c r="J92" i="11" s="1"/>
  <c r="W74" i="11"/>
  <c r="W93" i="11" s="1"/>
  <c r="G93" i="11"/>
  <c r="AS9" i="23"/>
  <c r="N27" i="23"/>
  <c r="P51" i="11"/>
  <c r="T27" i="23" s="1"/>
  <c r="AK12" i="23"/>
  <c r="BD20" i="23"/>
  <c r="BF21" i="23"/>
  <c r="BH22" i="23"/>
  <c r="I60" i="11"/>
  <c r="I92" i="11" s="1"/>
  <c r="BA21" i="23"/>
  <c r="AI12" i="23"/>
  <c r="L63" i="11"/>
  <c r="L93" i="11" s="1"/>
  <c r="C94" i="11"/>
  <c r="AS73" i="23"/>
  <c r="AG84" i="11"/>
  <c r="AG92" i="11" s="1"/>
  <c r="AA78" i="11"/>
  <c r="AA93" i="11" s="1"/>
  <c r="Q68" i="11"/>
  <c r="Q93" i="11" s="1"/>
  <c r="AH44" i="23"/>
  <c r="BG147" i="23"/>
  <c r="AF51" i="11"/>
  <c r="W11" i="23" s="1"/>
  <c r="Q11" i="23"/>
  <c r="C37" i="23"/>
  <c r="D37" i="23" s="1"/>
  <c r="C36" i="23"/>
  <c r="D36" i="23" s="1"/>
  <c r="D35" i="23"/>
  <c r="AV43" i="23" s="1"/>
  <c r="G49" i="23"/>
  <c r="AZ176" i="23"/>
  <c r="G48" i="23"/>
  <c r="BA87" i="23"/>
  <c r="AH22" i="23"/>
  <c r="N11" i="23"/>
  <c r="M51" i="11"/>
  <c r="T11" i="23" s="1"/>
  <c r="AY34" i="23"/>
  <c r="D19" i="23"/>
  <c r="AY30" i="23" s="1"/>
  <c r="C21" i="23"/>
  <c r="D21" i="23" s="1"/>
  <c r="C20" i="23"/>
  <c r="D20" i="23" s="1"/>
  <c r="J51" i="11"/>
  <c r="S39" i="23" s="1"/>
  <c r="M41" i="23"/>
  <c r="M40" i="23" s="1"/>
  <c r="M39" i="23"/>
  <c r="AZ57" i="23" s="1"/>
  <c r="AF18" i="23"/>
  <c r="BD47" i="23" s="1"/>
  <c r="AY98" i="23"/>
  <c r="BB173" i="23"/>
  <c r="K28" i="23"/>
  <c r="K29" i="23"/>
  <c r="BF147" i="23"/>
  <c r="AO45" i="23"/>
  <c r="AZ8" i="23"/>
  <c r="AU26" i="23"/>
  <c r="AO15" i="23"/>
  <c r="AG51" i="11"/>
  <c r="W27" i="23" s="1"/>
  <c r="Q27" i="23"/>
  <c r="Q28" i="23" s="1"/>
  <c r="Q29" i="23" s="1"/>
  <c r="K62" i="11"/>
  <c r="K93" i="11" s="1"/>
  <c r="AI86" i="11"/>
  <c r="AI92" i="11" s="1"/>
  <c r="O31" i="23"/>
  <c r="O32" i="23" s="1"/>
  <c r="O33" i="23" s="1"/>
  <c r="X51" i="11"/>
  <c r="U31" i="23" s="1"/>
  <c r="F57" i="11"/>
  <c r="F92" i="11" s="1"/>
  <c r="O66" i="11"/>
  <c r="O93" i="11" s="1"/>
  <c r="X93" i="11"/>
  <c r="BJ146" i="23"/>
  <c r="AJ44" i="23"/>
  <c r="AJ51" i="11"/>
  <c r="W47" i="23" s="1"/>
  <c r="Q47" i="23"/>
  <c r="Q49" i="23"/>
  <c r="Q48" i="23" s="1"/>
  <c r="AF48" i="23"/>
  <c r="BJ164" i="23" s="1"/>
  <c r="I51" i="23"/>
  <c r="BA172" i="23"/>
  <c r="I13" i="23"/>
  <c r="I12" i="23"/>
  <c r="E41" i="23"/>
  <c r="E40" i="23"/>
  <c r="N41" i="23"/>
  <c r="N40" i="23" s="1"/>
  <c r="N39" i="23"/>
  <c r="AZ122" i="23" s="1"/>
  <c r="S51" i="11"/>
  <c r="T39" i="23" s="1"/>
  <c r="AF28" i="23"/>
  <c r="BD111" i="23" s="1"/>
  <c r="E49" i="23"/>
  <c r="E48" i="23"/>
  <c r="E37" i="23"/>
  <c r="E36" i="23"/>
  <c r="AL13" i="23"/>
  <c r="BB23" i="23" s="1"/>
  <c r="AL14" i="23"/>
  <c r="AY23" i="23" s="1"/>
  <c r="C40" i="23"/>
  <c r="D40" i="23" s="1"/>
  <c r="D39" i="23"/>
  <c r="BD31" i="23" s="1"/>
  <c r="C41" i="23"/>
  <c r="D41" i="23" s="1"/>
  <c r="O51" i="11"/>
  <c r="T19" i="23" s="1"/>
  <c r="N19" i="23"/>
  <c r="AD81" i="11"/>
  <c r="AD92" i="11" s="1"/>
  <c r="AB79" i="11"/>
  <c r="AB92" i="11" s="1"/>
  <c r="F51" i="11"/>
  <c r="S19" i="23" s="1"/>
  <c r="AE14" i="23"/>
  <c r="AS25" i="23" s="1"/>
  <c r="M19" i="23"/>
  <c r="AZ147" i="23"/>
  <c r="AO39" i="23"/>
  <c r="D27" i="23"/>
  <c r="AV37" i="23" s="1"/>
  <c r="C28" i="23"/>
  <c r="D28" i="23" s="1"/>
  <c r="C29" i="23"/>
  <c r="D29" i="23" s="1"/>
  <c r="Q51" i="11"/>
  <c r="T23" i="23" s="1"/>
  <c r="AF26" i="23"/>
  <c r="AX111" i="23" s="1"/>
  <c r="N25" i="23"/>
  <c r="N24" i="23" s="1"/>
  <c r="N23" i="23"/>
  <c r="AZ120" i="23" s="1"/>
  <c r="AX8" i="23"/>
  <c r="AG49" i="23"/>
  <c r="U72" i="11"/>
  <c r="U93" i="11" s="1"/>
  <c r="AF83" i="11"/>
  <c r="AF92" i="11" s="1"/>
  <c r="H59" i="11"/>
  <c r="H93" i="11" s="1"/>
  <c r="AJ12" i="23"/>
  <c r="BD22" i="23"/>
  <c r="AE82" i="11"/>
  <c r="AE92" i="11" s="1"/>
  <c r="M64" i="11"/>
  <c r="M92" i="11" s="1"/>
  <c r="P67" i="11"/>
  <c r="P92" i="11" s="1"/>
  <c r="Y76" i="11"/>
  <c r="Y92" i="11" s="1"/>
  <c r="AJ87" i="11"/>
  <c r="AJ92" i="11" s="1"/>
  <c r="E44" i="23"/>
  <c r="E45" i="23"/>
  <c r="K49" i="23"/>
  <c r="BB176" i="23"/>
  <c r="K48" i="23"/>
  <c r="E51" i="23"/>
  <c r="F19" i="23" s="1"/>
  <c r="AY94" i="23" s="1"/>
  <c r="E13" i="23"/>
  <c r="E12" i="23"/>
  <c r="P48" i="11"/>
  <c r="E28" i="23"/>
  <c r="E29" i="23"/>
  <c r="F48" i="11"/>
  <c r="AD51" i="11"/>
  <c r="V35" i="23" s="1"/>
  <c r="AF41" i="23"/>
  <c r="BB164" i="23" s="1"/>
  <c r="P35" i="23"/>
  <c r="P37" i="23"/>
  <c r="P36" i="23" s="1"/>
  <c r="U51" i="11"/>
  <c r="T47" i="23" s="1"/>
  <c r="N49" i="23"/>
  <c r="N48" i="23" s="1"/>
  <c r="N47" i="23"/>
  <c r="AZ124" i="23" s="1"/>
  <c r="AF30" i="23"/>
  <c r="BF111" i="23" s="1"/>
  <c r="R51" i="11"/>
  <c r="T35" i="23" s="1"/>
  <c r="AF27" i="23"/>
  <c r="AV111" i="23" s="1"/>
  <c r="N35" i="23"/>
  <c r="AZ121" i="23" s="1"/>
  <c r="N37" i="23"/>
  <c r="N36" i="23" s="1"/>
  <c r="J48" i="11"/>
  <c r="G37" i="23"/>
  <c r="G36" i="23"/>
  <c r="AZ175" i="23"/>
  <c r="AZ172" i="23"/>
  <c r="G51" i="23"/>
  <c r="G13" i="23"/>
  <c r="G12" i="23"/>
  <c r="O11" i="23"/>
  <c r="V51" i="11"/>
  <c r="U11" i="23" s="1"/>
  <c r="AC51" i="11"/>
  <c r="V31" i="23" s="1"/>
  <c r="P31" i="23"/>
  <c r="P32" i="23" s="1"/>
  <c r="P33" i="23" s="1"/>
  <c r="AO40" i="23"/>
  <c r="AZ157" i="23"/>
  <c r="BB174" i="23"/>
  <c r="K33" i="23"/>
  <c r="K32" i="23"/>
  <c r="AH93" i="11"/>
  <c r="C25" i="23"/>
  <c r="D25" i="23" s="1"/>
  <c r="C24" i="23"/>
  <c r="D24" i="23" s="1"/>
  <c r="D23" i="23"/>
  <c r="AY37" i="23" s="1"/>
  <c r="N51" i="11"/>
  <c r="T15" i="23" s="1"/>
  <c r="N15" i="23"/>
  <c r="D12" i="23" l="1"/>
  <c r="AO35" i="23"/>
  <c r="D48" i="23"/>
  <c r="C48" i="11"/>
  <c r="P93" i="11"/>
  <c r="P95" i="11" s="1"/>
  <c r="L28" i="23"/>
  <c r="AO32" i="23"/>
  <c r="R93" i="11"/>
  <c r="AC93" i="11"/>
  <c r="AC95" i="11" s="1"/>
  <c r="U92" i="11"/>
  <c r="L47" i="23"/>
  <c r="BJ155" i="23" s="1"/>
  <c r="H37" i="23"/>
  <c r="T93" i="11"/>
  <c r="T95" i="11" s="1"/>
  <c r="H36" i="23"/>
  <c r="J93" i="11"/>
  <c r="J95" i="11" s="1"/>
  <c r="H12" i="23"/>
  <c r="L31" i="23"/>
  <c r="BH156" i="23" s="1"/>
  <c r="H13" i="23"/>
  <c r="L29" i="23"/>
  <c r="S93" i="11"/>
  <c r="L11" i="23"/>
  <c r="BH142" i="23" s="1"/>
  <c r="W92" i="11"/>
  <c r="W95" i="11" s="1"/>
  <c r="AH95" i="11"/>
  <c r="O92" i="11"/>
  <c r="O95" i="11" s="1"/>
  <c r="F11" i="23"/>
  <c r="AY75" i="23" s="1"/>
  <c r="F27" i="23"/>
  <c r="AV101" i="23" s="1"/>
  <c r="F35" i="23"/>
  <c r="AV107" i="23" s="1"/>
  <c r="F28" i="23"/>
  <c r="F36" i="23"/>
  <c r="D11" i="23"/>
  <c r="AY11" i="23" s="1"/>
  <c r="J51" i="23"/>
  <c r="F12" i="23"/>
  <c r="F45" i="23"/>
  <c r="AO36" i="23"/>
  <c r="F29" i="23"/>
  <c r="Y93" i="11"/>
  <c r="Y95" i="11" s="1"/>
  <c r="AI93" i="11"/>
  <c r="AI95" i="11" s="1"/>
  <c r="AA92" i="11"/>
  <c r="S95" i="11"/>
  <c r="AB93" i="11"/>
  <c r="AB95" i="11" s="1"/>
  <c r="H92" i="11"/>
  <c r="H95" i="11" s="1"/>
  <c r="AE93" i="11"/>
  <c r="AE95" i="11" s="1"/>
  <c r="AO13" i="23"/>
  <c r="I93" i="11"/>
  <c r="H32" i="23"/>
  <c r="AG93" i="11"/>
  <c r="V92" i="11"/>
  <c r="V95" i="11" s="1"/>
  <c r="E92" i="11"/>
  <c r="E95" i="11" s="1"/>
  <c r="AJ93" i="11"/>
  <c r="AJ95" i="11" s="1"/>
  <c r="L92" i="11"/>
  <c r="L95" i="11" s="1"/>
  <c r="G95" i="11"/>
  <c r="AG95" i="11"/>
  <c r="U95" i="11"/>
  <c r="AO44" i="23"/>
  <c r="J35" i="23"/>
  <c r="BB162" i="23" s="1"/>
  <c r="AO27" i="23"/>
  <c r="AO28" i="23" s="1"/>
  <c r="AO29" i="23" s="1"/>
  <c r="AO30" i="23" s="1"/>
  <c r="AO22" i="23"/>
  <c r="AD93" i="11"/>
  <c r="AD95" i="11" s="1"/>
  <c r="AO12" i="23"/>
  <c r="Z93" i="11"/>
  <c r="Z95" i="11" s="1"/>
  <c r="J48" i="23"/>
  <c r="N93" i="11"/>
  <c r="N95" i="11" s="1"/>
  <c r="AO41" i="23"/>
  <c r="AO42" i="23" s="1"/>
  <c r="F15" i="23"/>
  <c r="BB91" i="23" s="1"/>
  <c r="J27" i="23"/>
  <c r="BB150" i="23" s="1"/>
  <c r="AO23" i="23"/>
  <c r="D13" i="23"/>
  <c r="S16" i="23"/>
  <c r="S17" i="23"/>
  <c r="AF93" i="11"/>
  <c r="AF95" i="11" s="1"/>
  <c r="H51" i="23"/>
  <c r="L48" i="23"/>
  <c r="H33" i="23"/>
  <c r="L36" i="23"/>
  <c r="AZ52" i="23"/>
  <c r="M16" i="23"/>
  <c r="M17" i="23" s="1"/>
  <c r="S20" i="23"/>
  <c r="S21" i="23"/>
  <c r="F37" i="23"/>
  <c r="F40" i="23"/>
  <c r="H31" i="23"/>
  <c r="AV156" i="23" s="1"/>
  <c r="F25" i="23"/>
  <c r="S29" i="23"/>
  <c r="S28" i="23"/>
  <c r="AX25" i="23"/>
  <c r="AO14" i="23"/>
  <c r="S51" i="23"/>
  <c r="S12" i="23"/>
  <c r="S13" i="23"/>
  <c r="AO47" i="23"/>
  <c r="AO48" i="23" s="1"/>
  <c r="P12" i="23"/>
  <c r="P13" i="23"/>
  <c r="D51" i="23"/>
  <c r="D49" i="23"/>
  <c r="T40" i="23"/>
  <c r="T41" i="23"/>
  <c r="M20" i="23"/>
  <c r="M21" i="23" s="1"/>
  <c r="AZ53" i="23"/>
  <c r="J37" i="23"/>
  <c r="L51" i="23"/>
  <c r="T48" i="23"/>
  <c r="T49" i="23"/>
  <c r="S41" i="23"/>
  <c r="S40" i="23"/>
  <c r="H11" i="23"/>
  <c r="AV142" i="23" s="1"/>
  <c r="L49" i="23"/>
  <c r="F47" i="23"/>
  <c r="BF96" i="23" s="1"/>
  <c r="F41" i="23"/>
  <c r="K92" i="11"/>
  <c r="K95" i="11" s="1"/>
  <c r="AF49" i="23"/>
  <c r="H47" i="23"/>
  <c r="AX155" i="23" s="1"/>
  <c r="Q12" i="23"/>
  <c r="Q13" i="23"/>
  <c r="T29" i="23"/>
  <c r="T28" i="23"/>
  <c r="W32" i="23"/>
  <c r="W33" i="23"/>
  <c r="L37" i="23"/>
  <c r="F23" i="23"/>
  <c r="AY101" i="23" s="1"/>
  <c r="M28" i="23"/>
  <c r="M29" i="23" s="1"/>
  <c r="AZ54" i="23"/>
  <c r="T45" i="23"/>
  <c r="T44" i="23"/>
  <c r="AZ51" i="23"/>
  <c r="M12" i="23"/>
  <c r="M13" i="23"/>
  <c r="W37" i="23"/>
  <c r="W36" i="23"/>
  <c r="H29" i="23"/>
  <c r="F21" i="23"/>
  <c r="V12" i="23"/>
  <c r="V51" i="23"/>
  <c r="V13" i="23"/>
  <c r="U33" i="23"/>
  <c r="U32" i="23"/>
  <c r="T13" i="23"/>
  <c r="T51" i="23"/>
  <c r="T12" i="23"/>
  <c r="V48" i="23"/>
  <c r="V49" i="23"/>
  <c r="N20" i="23"/>
  <c r="N21" i="23" s="1"/>
  <c r="AZ118" i="23"/>
  <c r="AZ116" i="23"/>
  <c r="N13" i="23"/>
  <c r="N12" i="23"/>
  <c r="Q92" i="11"/>
  <c r="Q95" i="11" s="1"/>
  <c r="U36" i="23"/>
  <c r="U37" i="23"/>
  <c r="V32" i="23"/>
  <c r="V33" i="23"/>
  <c r="F48" i="23"/>
  <c r="F39" i="23"/>
  <c r="BD96" i="23" s="1"/>
  <c r="AO26" i="23"/>
  <c r="H48" i="23"/>
  <c r="W51" i="23"/>
  <c r="W12" i="23"/>
  <c r="W13" i="23"/>
  <c r="I95" i="11"/>
  <c r="N28" i="23"/>
  <c r="N29" i="23" s="1"/>
  <c r="AZ119" i="23"/>
  <c r="J32" i="23"/>
  <c r="L35" i="23"/>
  <c r="BH162" i="23" s="1"/>
  <c r="F24" i="23"/>
  <c r="AO17" i="23"/>
  <c r="AO18" i="23" s="1"/>
  <c r="AO19" i="23" s="1"/>
  <c r="AO20" i="23" s="1"/>
  <c r="L13" i="23"/>
  <c r="D92" i="11"/>
  <c r="D93" i="11"/>
  <c r="R95" i="11"/>
  <c r="J49" i="23"/>
  <c r="H28" i="23"/>
  <c r="F20" i="23"/>
  <c r="F93" i="11"/>
  <c r="F95" i="11" s="1"/>
  <c r="AX85" i="23"/>
  <c r="AY87" i="23"/>
  <c r="AA95" i="11"/>
  <c r="U13" i="23"/>
  <c r="U12" i="23"/>
  <c r="U51" i="23"/>
  <c r="T36" i="23"/>
  <c r="T37" i="23"/>
  <c r="V36" i="23"/>
  <c r="V37" i="23"/>
  <c r="F13" i="23"/>
  <c r="F43" i="23"/>
  <c r="BH96" i="23" s="1"/>
  <c r="F49" i="23"/>
  <c r="J12" i="23"/>
  <c r="AO16" i="23"/>
  <c r="J33" i="23"/>
  <c r="U29" i="23"/>
  <c r="U28" i="23"/>
  <c r="L12" i="23"/>
  <c r="S45" i="23"/>
  <c r="S44" i="23"/>
  <c r="M93" i="11"/>
  <c r="M95" i="11" s="1"/>
  <c r="X95" i="11"/>
  <c r="F16" i="23"/>
  <c r="J29" i="23"/>
  <c r="T16" i="23"/>
  <c r="T17" i="23"/>
  <c r="T25" i="23"/>
  <c r="T24" i="23"/>
  <c r="S49" i="23"/>
  <c r="S48" i="23"/>
  <c r="S24" i="23"/>
  <c r="S25" i="23"/>
  <c r="T21" i="23"/>
  <c r="T20" i="23"/>
  <c r="J11" i="23"/>
  <c r="BB142" i="23" s="1"/>
  <c r="L32" i="23"/>
  <c r="N16" i="23"/>
  <c r="N17" i="23" s="1"/>
  <c r="AZ117" i="23"/>
  <c r="L33" i="23"/>
  <c r="O13" i="23"/>
  <c r="O12" i="23"/>
  <c r="H35" i="23"/>
  <c r="AV162" i="23" s="1"/>
  <c r="F51" i="23"/>
  <c r="F44" i="23"/>
  <c r="J13" i="23"/>
  <c r="W49" i="23"/>
  <c r="W48" i="23"/>
  <c r="W29" i="23"/>
  <c r="W28" i="23"/>
  <c r="H49" i="23"/>
  <c r="J31" i="23"/>
  <c r="BB156" i="23" s="1"/>
  <c r="J36" i="23"/>
  <c r="S36" i="23"/>
  <c r="S37" i="23"/>
  <c r="U49" i="23"/>
  <c r="U48" i="23"/>
  <c r="J47" i="23"/>
  <c r="BD155" i="23" s="1"/>
  <c r="H27" i="23"/>
  <c r="AV150" i="23" s="1"/>
  <c r="V29" i="23"/>
  <c r="V28" i="23"/>
  <c r="F17" i="23"/>
  <c r="J28" i="23"/>
  <c r="AO49" i="23" l="1"/>
  <c r="C92" i="11"/>
  <c r="D95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<sst xmlns="http://schemas.openxmlformats.org/spreadsheetml/2006/main" count="15006" uniqueCount="4059">
  <si>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</si>
  <si>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</si>
  <si>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</si>
  <si>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</si>
  <si>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</si>
  <si>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</si>
  <si>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</si>
  <si>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</si>
  <si>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</si>
  <si>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</si>
  <si>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</si>
  <si>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</si>
  <si>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</si>
  <si>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</si>
  <si>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</si>
  <si>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</si>
  <si>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</si>
  <si>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</si>
  <si>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</si>
  <si>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</si>
  <si>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</si>
  <si>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</si>
  <si>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</si>
  <si>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</si>
  <si>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</si>
  <si>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</si>
  <si>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</si>
  <si>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</si>
  <si>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</si>
  <si>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</si>
  <si>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</si>
  <si>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</si>
  <si>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</si>
  <si>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</si>
  <si>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</si>
  <si>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</si>
  <si>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</si>
  <si>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</si>
  <si>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</si>
  <si>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</si>
  <si>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</si>
  <si>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</si>
  <si>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</si>
  <si>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</si>
  <si>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</si>
  <si>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</si>
  <si>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</si>
  <si>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</si>
  <si>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</si>
  <si>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</si>
  <si>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</si>
  <si>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</si>
  <si>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</si>
  <si>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</si>
  <si>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</si>
  <si>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</si>
  <si>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</si>
  <si>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</si>
  <si>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</si>
  <si>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</si>
  <si>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</si>
  <si>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</si>
  <si>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</si>
  <si>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</si>
  <si>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</si>
  <si>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</si>
  <si>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</si>
  <si>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</si>
  <si>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</si>
  <si>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</si>
  <si>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</si>
  <si>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</si>
  <si>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</si>
  <si>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</si>
  <si>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</si>
  <si>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</si>
  <si>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</si>
  <si>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</si>
  <si>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</si>
  <si>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</si>
  <si>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</si>
  <si>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</si>
  <si>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</si>
  <si>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</si>
  <si>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</si>
  <si>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</si>
  <si>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</si>
  <si>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</si>
  <si>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</si>
  <si>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</si>
  <si>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</si>
  <si>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</si>
  <si>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</si>
  <si>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</si>
  <si>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</si>
  <si>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</si>
  <si>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</si>
  <si>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</si>
  <si>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</si>
  <si>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</si>
  <si>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</si>
  <si>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</si>
  <si>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</si>
  <si>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</si>
  <si>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</si>
  <si>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</si>
  <si>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</si>
  <si>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</si>
  <si>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</si>
  <si>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</si>
  <si>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</si>
  <si>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</si>
  <si>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</si>
  <si>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</si>
  <si>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</si>
  <si>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</si>
  <si>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</si>
  <si>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</si>
  <si>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</si>
  <si>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</si>
  <si>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</si>
  <si>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</si>
  <si>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</si>
  <si>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</si>
  <si>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</si>
  <si>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</si>
  <si>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</si>
  <si>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</si>
  <si>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</si>
  <si>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</si>
  <si>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</si>
  <si>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</si>
  <si>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</si>
  <si>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</si>
  <si>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</si>
  <si>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</si>
  <si>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</si>
  <si>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</si>
  <si>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</si>
  <si>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</si>
  <si>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</si>
  <si>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</si>
  <si>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</si>
  <si>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</si>
  <si>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</si>
  <si>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</si>
  <si>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</si>
  <si>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</si>
  <si>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</si>
  <si>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</si>
  <si>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</si>
  <si>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</si>
  <si>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</si>
  <si>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</si>
  <si>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</si>
  <si>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</si>
  <si>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</si>
  <si>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</si>
  <si>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</si>
  <si>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</si>
  <si>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</si>
  <si>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</si>
  <si>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</si>
  <si>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</si>
  <si>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</si>
  <si>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</si>
  <si>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</si>
  <si>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</si>
  <si>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</si>
  <si>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</si>
  <si>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</si>
  <si>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</si>
  <si>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</si>
  <si>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</si>
  <si>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</si>
  <si>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</si>
  <si>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</si>
  <si>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</si>
  <si>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</si>
  <si>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</si>
  <si>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</si>
  <si>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</si>
  <si>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</si>
  <si>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</si>
  <si>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</si>
  <si>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</si>
  <si>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</si>
  <si>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</si>
  <si>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</si>
  <si>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</si>
  <si>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</si>
  <si>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</si>
  <si>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</si>
  <si>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</si>
  <si>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</si>
  <si>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</si>
  <si>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</si>
  <si>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</si>
  <si>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</si>
  <si>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</si>
  <si>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</si>
  <si>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</si>
  <si>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</si>
  <si>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</si>
  <si>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</si>
  <si>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</si>
  <si>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</si>
  <si>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</si>
  <si>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</si>
  <si>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</si>
  <si>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</si>
  <si>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</si>
  <si>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</si>
  <si>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</si>
  <si>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</si>
  <si>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</si>
  <si>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</si>
  <si>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</si>
  <si>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</si>
  <si>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</si>
  <si>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</si>
  <si>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</si>
  <si>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</si>
  <si>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</si>
  <si>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</si>
  <si>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</si>
  <si>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</si>
  <si>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</si>
  <si>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</si>
  <si>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</si>
  <si>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</si>
  <si>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</si>
  <si>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</si>
  <si>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</si>
  <si>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</si>
  <si>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</si>
  <si>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</si>
  <si>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</si>
  <si>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</si>
  <si>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</si>
  <si>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</si>
  <si>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</si>
  <si>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</si>
  <si>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</si>
  <si>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</si>
  <si>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</si>
  <si>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</si>
  <si>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</si>
  <si>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</si>
  <si>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</si>
  <si>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</si>
  <si>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</si>
  <si>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</si>
  <si>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</si>
  <si>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</si>
  <si>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</si>
  <si>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</si>
  <si>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</si>
  <si>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</si>
  <si>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</si>
  <si>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</si>
  <si>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</si>
  <si>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</si>
  <si>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</si>
  <si>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</si>
  <si>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</si>
  <si>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</si>
  <si>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</si>
  <si>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</si>
  <si>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</si>
  <si>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</si>
  <si>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</si>
  <si>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</si>
  <si>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</si>
  <si>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</si>
  <si>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</si>
  <si>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</si>
  <si>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</si>
  <si>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</si>
  <si>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</si>
  <si>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</si>
  <si>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</si>
  <si>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</si>
  <si>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</si>
  <si>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</si>
  <si>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</si>
  <si>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</si>
  <si>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</si>
  <si>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</si>
  <si>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</si>
  <si>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</si>
  <si>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</si>
  <si>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</si>
  <si>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</si>
  <si>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</si>
  <si>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</si>
  <si>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</si>
  <si>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</si>
  <si>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</si>
  <si>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</si>
  <si>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</si>
  <si>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</si>
  <si>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</si>
  <si>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</si>
  <si>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</si>
  <si>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</si>
  <si>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</si>
  <si>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</si>
  <si>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</si>
  <si>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</si>
  <si>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</si>
  <si>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</si>
  <si>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</si>
  <si>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</si>
  <si>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</si>
  <si>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</si>
  <si>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</si>
  <si>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</si>
  <si>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</si>
  <si>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</si>
  <si>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</si>
  <si>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</si>
  <si>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</si>
  <si>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</si>
  <si>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</si>
  <si>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</si>
  <si>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</si>
  <si>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</si>
  <si>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</si>
  <si>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</si>
  <si>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</si>
  <si>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</si>
  <si>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</si>
  <si>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</si>
  <si>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</si>
  <si>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</si>
  <si>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</si>
  <si>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</si>
  <si>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</si>
  <si>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</si>
  <si>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</si>
  <si>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</si>
  <si>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</si>
  <si>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</si>
  <si>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</si>
  <si>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</si>
  <si>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</si>
  <si>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</si>
  <si>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</si>
  <si>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</si>
  <si>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</si>
  <si>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</si>
  <si>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</si>
  <si>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</si>
  <si>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</si>
  <si>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</si>
  <si>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</si>
  <si>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</si>
  <si>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</si>
  <si>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</si>
  <si>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</si>
  <si>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</si>
  <si>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</si>
  <si>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</si>
  <si>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</si>
  <si>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</si>
  <si>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</si>
  <si>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</si>
  <si>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</si>
  <si>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</si>
  <si>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</si>
  <si>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</si>
  <si>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</si>
  <si>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</si>
  <si>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</si>
  <si>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</si>
  <si>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</si>
  <si>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</si>
  <si>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</si>
  <si>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</si>
  <si>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</si>
  <si>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</si>
  <si>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</si>
  <si>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</si>
  <si>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</si>
  <si>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</si>
  <si>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</si>
  <si>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</si>
  <si>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</si>
  <si>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</si>
  <si>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</si>
  <si>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</si>
  <si>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</si>
  <si>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</si>
  <si>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</si>
  <si>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</si>
  <si>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</si>
  <si>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</si>
  <si>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</si>
  <si>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</si>
  <si>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</si>
  <si>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</si>
  <si>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</si>
  <si>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</si>
  <si>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</si>
  <si>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</si>
  <si>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</si>
  <si>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</si>
  <si>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</si>
  <si>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</si>
  <si>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</si>
  <si>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</si>
  <si>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</si>
  <si>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</si>
  <si>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</si>
  <si>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</si>
  <si>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</si>
  <si>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</si>
  <si>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</si>
  <si>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</si>
  <si>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</si>
  <si>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</si>
  <si>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</si>
  <si>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</si>
  <si>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</si>
  <si>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</si>
  <si>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</si>
  <si>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</si>
  <si>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</si>
  <si>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</si>
  <si>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</si>
  <si>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</si>
  <si>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</si>
  <si>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</si>
  <si>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</si>
  <si>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</si>
  <si>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</si>
  <si>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</si>
  <si>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</si>
  <si>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</si>
  <si>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</si>
  <si>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</si>
  <si>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</si>
  <si>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</si>
  <si>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</si>
  <si>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</si>
  <si>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</si>
  <si>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</si>
  <si>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</si>
  <si>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</si>
  <si>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</si>
  <si>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</si>
  <si>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</si>
  <si>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</si>
  <si>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</si>
  <si>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</si>
  <si>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</si>
  <si>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</si>
  <si>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</si>
  <si>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</si>
  <si>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</si>
  <si>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</si>
  <si>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</si>
  <si>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</si>
  <si>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</si>
  <si>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</si>
  <si>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</si>
  <si>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</si>
  <si>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</si>
  <si>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</si>
  <si>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</si>
  <si>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</si>
  <si>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</si>
  <si>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</si>
  <si>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</si>
  <si>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</si>
  <si>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</si>
  <si>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</si>
  <si>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</si>
  <si>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</si>
  <si>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</si>
  <si>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</si>
  <si>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</si>
  <si>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</si>
  <si>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</si>
  <si>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</si>
  <si>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</si>
  <si>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</si>
  <si>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</si>
  <si>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</si>
  <si>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</si>
  <si>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</si>
  <si>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</si>
  <si>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</si>
  <si>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</si>
  <si>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</si>
  <si>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</si>
  <si>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</si>
  <si>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</si>
  <si>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</si>
  <si>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</si>
  <si>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</si>
  <si>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</si>
  <si>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</si>
  <si>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</si>
  <si>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</si>
  <si>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</si>
  <si>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</si>
  <si>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</si>
  <si>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</si>
  <si>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</si>
  <si>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</si>
  <si>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</si>
  <si>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</si>
  <si>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</si>
  <si>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</si>
  <si>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</si>
  <si>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</si>
  <si>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</si>
  <si>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</si>
  <si>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</si>
  <si>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</si>
  <si>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</si>
  <si>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</si>
  <si>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</si>
  <si>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</si>
  <si>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</si>
  <si>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</si>
  <si>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</si>
  <si>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</si>
  <si>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</si>
  <si>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</si>
  <si>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</si>
  <si>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</si>
  <si>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</si>
  <si>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</si>
  <si>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</si>
  <si>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</si>
  <si>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</si>
  <si>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</si>
  <si>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</si>
  <si>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</si>
  <si>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</si>
  <si>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</si>
  <si>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</si>
  <si>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</si>
  <si>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</si>
  <si>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</si>
  <si>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</si>
  <si>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</si>
  <si>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</si>
  <si>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</si>
  <si>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</si>
  <si>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</si>
  <si>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</si>
  <si>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</si>
  <si>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</si>
  <si>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</si>
  <si>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</si>
  <si>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</si>
  <si>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</si>
  <si>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</si>
  <si>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</si>
  <si>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</si>
  <si>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</si>
  <si>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</si>
  <si>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</si>
  <si>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</si>
  <si>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</si>
  <si>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</si>
  <si>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</si>
  <si>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</si>
  <si>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</si>
  <si>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</si>
  <si>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</si>
  <si>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</si>
  <si>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</si>
  <si>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</si>
  <si>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</si>
  <si>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</si>
  <si>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</si>
  <si>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</si>
  <si>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</si>
  <si>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</si>
  <si>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</si>
  <si>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</si>
  <si>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</si>
  <si>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</si>
  <si>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</si>
  <si>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</si>
  <si>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</si>
  <si>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</si>
  <si>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</si>
  <si>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</si>
  <si>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</si>
  <si>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</si>
  <si>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</si>
  <si>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</si>
  <si>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</si>
  <si>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</si>
  <si>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</si>
  <si>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</si>
  <si>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</si>
  <si>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</si>
  <si>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</si>
  <si>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</si>
  <si>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</si>
  <si>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</si>
  <si>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</si>
  <si>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</si>
  <si>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</si>
  <si>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</si>
  <si>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</si>
  <si>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</si>
  <si>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</si>
  <si>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</si>
  <si>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</si>
  <si>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</si>
  <si>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</si>
  <si>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</si>
  <si>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</si>
  <si>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</si>
  <si>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</si>
  <si>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</si>
  <si>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</si>
  <si>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</si>
  <si>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</si>
  <si>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</si>
  <si>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</si>
  <si>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</si>
  <si>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</si>
  <si>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</si>
  <si>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</si>
  <si>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</si>
  <si>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</si>
  <si>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</si>
  <si>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</si>
  <si>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</si>
  <si>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</si>
  <si>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</si>
  <si>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</si>
  <si>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</si>
  <si>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</si>
  <si>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</si>
  <si>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</si>
  <si>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</si>
  <si>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</si>
  <si>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</si>
  <si>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</si>
  <si>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</si>
  <si>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</si>
  <si>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</si>
  <si>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</si>
  <si>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</si>
  <si>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</si>
  <si>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</si>
  <si>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</si>
  <si>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</si>
  <si>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</si>
  <si>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</si>
  <si>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</si>
  <si>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</si>
  <si>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</si>
  <si>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</si>
  <si>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</si>
  <si>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</si>
  <si>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</si>
  <si>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</si>
  <si>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</si>
  <si>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</si>
  <si>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</si>
  <si>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</si>
  <si>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</si>
  <si>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</si>
  <si>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</si>
  <si>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</si>
  <si>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</si>
  <si>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</si>
  <si>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</si>
  <si>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</si>
  <si>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</si>
  <si>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</si>
  <si>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</si>
  <si>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</si>
  <si>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</si>
  <si>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</si>
  <si>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</si>
  <si>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</si>
  <si>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</si>
  <si>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</si>
  <si>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</si>
  <si>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</si>
  <si>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</si>
  <si>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</si>
  <si>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</si>
  <si>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</si>
  <si>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</si>
  <si>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</si>
  <si>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</si>
  <si>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</si>
  <si>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</si>
  <si>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</si>
  <si>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</si>
  <si>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</si>
  <si>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</si>
  <si>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</si>
  <si>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</si>
  <si>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</si>
  <si>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</si>
  <si>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</si>
  <si>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</si>
  <si>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</si>
  <si>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</si>
  <si>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</si>
  <si>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</si>
  <si>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</si>
  <si>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</si>
  <si>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</si>
  <si>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</si>
  <si>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</si>
  <si>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</si>
  <si>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</si>
  <si>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</si>
  <si>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</si>
  <si>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</si>
  <si>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</si>
  <si>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</si>
  <si>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</si>
  <si>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</si>
  <si>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</si>
  <si>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</si>
  <si>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</si>
  <si>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</si>
  <si>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</si>
  <si>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</si>
  <si>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</si>
  <si>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</si>
  <si>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</si>
  <si>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</si>
  <si>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</si>
  <si>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</si>
  <si>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</si>
  <si>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</si>
  <si>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</si>
  <si>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</si>
  <si>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</si>
  <si>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</si>
  <si>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</si>
  <si>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</si>
  <si>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</si>
  <si>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</si>
  <si>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</si>
  <si>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</si>
  <si>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</si>
  <si>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</si>
  <si>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</si>
  <si>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</si>
  <si>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</si>
  <si>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</si>
  <si>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</si>
  <si>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</si>
  <si>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</si>
  <si>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</si>
  <si>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</si>
  <si>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</si>
  <si>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</si>
  <si>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</si>
  <si>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</si>
  <si>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</si>
  <si>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</si>
  <si>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</si>
  <si>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</si>
  <si>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</si>
  <si>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</si>
  <si>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</si>
  <si>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</si>
  <si>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</si>
  <si>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</si>
  <si>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</si>
  <si>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</si>
  <si>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</si>
  <si>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</si>
  <si>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</si>
  <si>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</si>
  <si>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</si>
  <si>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</si>
  <si>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</si>
  <si>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</si>
  <si>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</si>
  <si>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</si>
  <si>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</si>
  <si>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</si>
  <si>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</si>
  <si>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</si>
  <si>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</si>
  <si>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</si>
  <si>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</si>
  <si>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</si>
  <si>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</si>
  <si>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</si>
  <si>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</si>
  <si>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</si>
  <si>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</si>
  <si>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</si>
  <si>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</si>
  <si>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</si>
  <si>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</si>
  <si>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</si>
  <si>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</si>
  <si>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</si>
  <si>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</si>
  <si>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</si>
  <si>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</si>
  <si>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</si>
  <si>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</si>
  <si>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</si>
  <si>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</si>
  <si>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</si>
  <si>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</si>
  <si>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</si>
  <si>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</si>
  <si>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</si>
  <si>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</si>
  <si>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</si>
  <si>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</si>
  <si>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</si>
  <si>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</si>
  <si>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</si>
  <si>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</si>
  <si>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</si>
  <si>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</si>
  <si>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</si>
  <si>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</si>
  <si>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</si>
  <si>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</si>
  <si>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</si>
  <si>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</si>
  <si>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</si>
  <si>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</si>
  <si>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</si>
  <si>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</si>
  <si>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</si>
  <si>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</si>
  <si>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</si>
  <si>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</si>
  <si>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</si>
  <si>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</si>
  <si>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</si>
  <si>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</si>
  <si>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</si>
  <si>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</si>
  <si>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</si>
  <si>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</si>
  <si>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</si>
  <si>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</si>
  <si>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</si>
  <si>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</si>
  <si>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</si>
  <si>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</si>
  <si>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</si>
  <si>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</si>
  <si>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</si>
  <si>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</si>
  <si>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</si>
  <si>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</si>
  <si>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</si>
  <si>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</si>
  <si>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</si>
  <si>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</si>
  <si>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</si>
  <si>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</si>
  <si>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</si>
  <si>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</si>
  <si>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</si>
  <si>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</si>
  <si>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</si>
  <si>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</si>
  <si>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</si>
  <si>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</si>
  <si>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</si>
  <si>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</si>
  <si>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</si>
  <si>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</si>
  <si>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</si>
  <si>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</si>
  <si>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</si>
  <si>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</si>
  <si>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</si>
  <si>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</si>
  <si>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</si>
  <si>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</si>
  <si>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</si>
  <si>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</si>
  <si>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</si>
  <si>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</si>
  <si>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</si>
  <si>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</si>
  <si>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</si>
  <si>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</si>
  <si>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</si>
  <si>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</si>
  <si>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</si>
  <si>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</si>
  <si>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</si>
  <si>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</si>
  <si>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</si>
  <si>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</si>
  <si>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</si>
  <si>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</si>
  <si>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</si>
  <si>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</si>
  <si>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</si>
  <si>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</si>
  <si>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</si>
  <si>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</si>
  <si>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</si>
  <si>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</si>
  <si>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</si>
  <si>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</si>
  <si>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</si>
  <si>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</si>
  <si>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</si>
  <si>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</si>
  <si>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</si>
  <si>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</si>
  <si>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</si>
  <si>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</si>
  <si>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</si>
  <si>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</si>
  <si>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</si>
  <si>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</si>
  <si>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</si>
  <si>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</si>
  <si>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</si>
  <si>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</si>
  <si>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</si>
  <si>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</si>
  <si>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</si>
  <si>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</si>
  <si>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</si>
  <si>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</si>
  <si>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</si>
  <si>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</si>
  <si>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</si>
  <si>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</si>
  <si>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</si>
  <si>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</si>
  <si>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</si>
  <si>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</si>
  <si>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</si>
  <si>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</si>
  <si>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</si>
  <si>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</si>
  <si>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</si>
  <si>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</si>
  <si>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</si>
  <si>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</si>
  <si>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</si>
  <si>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</si>
  <si>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</si>
  <si>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</si>
  <si>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</si>
  <si>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</si>
  <si>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</si>
  <si>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</si>
  <si>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</si>
  <si>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</si>
  <si>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</si>
  <si>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</si>
  <si>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</si>
  <si>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</si>
  <si>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</si>
  <si>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</si>
  <si>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</si>
  <si>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</si>
  <si>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</si>
  <si>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</si>
  <si>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</si>
  <si>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</si>
  <si>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</si>
  <si>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</si>
  <si>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</si>
  <si>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</si>
  <si>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</si>
  <si>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</si>
  <si>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</si>
  <si>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</si>
  <si>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</si>
  <si>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</si>
  <si>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</si>
  <si>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</si>
  <si>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</si>
  <si>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</si>
  <si>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</si>
  <si>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</si>
  <si>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</si>
  <si>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</si>
  <si>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</si>
  <si>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</si>
  <si>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</si>
  <si>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</si>
  <si>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</si>
  <si>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</si>
  <si>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</si>
  <si>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</si>
  <si>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</si>
  <si>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</si>
  <si>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</si>
  <si>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</si>
  <si>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</si>
  <si>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</si>
  <si>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</si>
  <si>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</si>
  <si>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</si>
  <si>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</si>
  <si>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</si>
  <si>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</si>
  <si>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</si>
  <si>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</si>
  <si>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</si>
  <si>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</si>
  <si>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</si>
  <si>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</si>
  <si>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</si>
  <si>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</si>
  <si>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</si>
  <si>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</si>
  <si>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</si>
  <si>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</si>
  <si>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</si>
  <si>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</si>
  <si>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</si>
  <si>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</si>
  <si>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</si>
  <si>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</si>
  <si>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</si>
  <si>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</si>
  <si>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</si>
  <si>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</si>
  <si>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</si>
  <si>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</si>
  <si>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</si>
  <si>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</si>
  <si>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</si>
  <si>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</si>
  <si>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</si>
  <si>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</si>
  <si>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</si>
  <si>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</si>
  <si>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</si>
  <si>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</si>
  <si>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</si>
  <si>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</si>
  <si>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</si>
  <si>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</si>
  <si>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</si>
  <si>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</si>
  <si>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</si>
  <si>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</si>
  <si>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</si>
  <si>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</si>
  <si>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</si>
  <si>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</si>
  <si>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</si>
  <si>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</si>
  <si>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</si>
  <si>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</si>
  <si>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</si>
  <si>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</si>
  <si>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</si>
  <si>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</si>
  <si>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</si>
  <si>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</si>
  <si>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</si>
  <si>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</si>
  <si>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</si>
  <si>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</si>
  <si>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</si>
  <si>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</si>
  <si>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</si>
  <si>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</si>
  <si>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</si>
  <si>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</si>
  <si>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</si>
  <si>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</si>
  <si>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</si>
  <si>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</si>
  <si>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</si>
  <si>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</si>
  <si>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</si>
  <si>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</si>
  <si>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</si>
  <si>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</si>
  <si>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</si>
  <si>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</si>
  <si>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</si>
  <si>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</si>
  <si>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</si>
  <si>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</si>
  <si>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</si>
  <si>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</si>
  <si>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</si>
  <si>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</si>
  <si>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</si>
  <si>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</si>
  <si>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</si>
  <si>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</si>
  <si>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</si>
  <si>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</si>
  <si>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</si>
  <si>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</si>
  <si>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</si>
  <si>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</si>
  <si>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</si>
  <si>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</si>
  <si>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</si>
  <si>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</si>
  <si>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</si>
  <si>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</si>
  <si>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</si>
  <si>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</si>
  <si>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</si>
  <si>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</si>
  <si>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</si>
  <si>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</si>
  <si>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</si>
  <si>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</si>
  <si>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</si>
  <si>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</si>
  <si>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</si>
  <si>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</si>
  <si>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</si>
  <si>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</si>
  <si>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</si>
  <si>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</si>
  <si>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</si>
  <si>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</si>
  <si>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</si>
  <si>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</si>
  <si>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</si>
  <si>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</si>
  <si>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</si>
  <si>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</si>
  <si>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</si>
  <si>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</si>
  <si>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</si>
  <si>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</si>
  <si>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</si>
  <si>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</si>
  <si>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</si>
  <si>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</si>
  <si>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</si>
  <si>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</si>
  <si>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</si>
  <si>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</si>
  <si>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</si>
  <si>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</si>
  <si>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</si>
  <si>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</si>
  <si>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</si>
  <si>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</si>
  <si>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</si>
  <si>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</si>
  <si>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</si>
  <si>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</si>
  <si>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</si>
  <si>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</si>
  <si>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</si>
  <si>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</si>
  <si>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</si>
  <si>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</si>
  <si>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</si>
  <si>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</si>
  <si>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</si>
  <si>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</si>
  <si>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</si>
  <si>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</si>
  <si>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</si>
  <si>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</si>
  <si>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</si>
  <si>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</si>
  <si>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</si>
  <si>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</si>
  <si>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</si>
  <si>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</si>
  <si>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</si>
  <si>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</si>
  <si>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</si>
  <si>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</si>
  <si>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</si>
  <si>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</si>
  <si>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</si>
  <si>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</si>
  <si>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</si>
  <si>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</si>
  <si>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</si>
  <si>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</si>
  <si>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</si>
  <si>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</si>
  <si>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</si>
  <si>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</si>
  <si>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</si>
  <si>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</si>
  <si>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</si>
  <si>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</si>
  <si>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</si>
  <si>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</si>
  <si>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</si>
  <si>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</si>
  <si>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</si>
  <si>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</si>
  <si>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</si>
  <si>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</si>
  <si>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</si>
  <si>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</si>
  <si>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</si>
  <si>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</si>
  <si>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</si>
  <si>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</si>
  <si>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</si>
  <si>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</si>
  <si>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</si>
  <si>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</si>
  <si>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</si>
  <si>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</si>
  <si>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</si>
  <si>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</si>
  <si>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</si>
  <si>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</si>
  <si>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</si>
  <si>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</si>
  <si>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</si>
  <si>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</si>
  <si>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</si>
  <si>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</si>
  <si>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</si>
  <si>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</si>
  <si>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</si>
  <si>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</si>
  <si>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</si>
  <si>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</si>
  <si>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</si>
  <si>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</si>
  <si>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</si>
  <si>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</si>
  <si>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</si>
  <si>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</si>
  <si>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</si>
  <si>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</si>
  <si>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</si>
  <si>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</si>
  <si>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</si>
  <si>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</si>
  <si>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</si>
  <si>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</si>
  <si>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</si>
  <si>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</si>
  <si>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</si>
  <si>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</si>
  <si>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</si>
  <si>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</si>
  <si>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</si>
  <si>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</si>
  <si>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</si>
  <si>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</si>
  <si>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</si>
  <si>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</si>
  <si>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</si>
  <si>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</si>
  <si>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</si>
  <si>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</si>
  <si>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</si>
  <si>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</si>
  <si>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</si>
  <si>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</si>
  <si>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</si>
  <si>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</si>
  <si>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</si>
  <si>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</si>
  <si>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</si>
  <si>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</si>
  <si>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</si>
  <si>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</si>
  <si>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</si>
  <si>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</si>
  <si>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</si>
  <si>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</si>
  <si>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</si>
  <si>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</si>
  <si>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</si>
  <si>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</si>
  <si>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</si>
  <si>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</si>
  <si>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</si>
  <si>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</si>
  <si>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</si>
  <si>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</si>
  <si>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</si>
  <si>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</si>
  <si>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</si>
  <si>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</si>
  <si>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</si>
  <si>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</si>
  <si>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</si>
  <si>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</si>
  <si>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</si>
  <si>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</si>
  <si>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</si>
  <si>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</si>
  <si>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</si>
  <si>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</si>
  <si>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</si>
  <si>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</si>
  <si>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</si>
  <si>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</si>
  <si>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</si>
  <si>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</si>
  <si>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</si>
  <si>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</si>
  <si>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</si>
  <si>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</si>
  <si>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</si>
  <si>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</si>
  <si>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</si>
  <si>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</si>
  <si>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</si>
  <si>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</si>
  <si>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</si>
  <si>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</si>
  <si>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</si>
  <si>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</si>
  <si>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</si>
  <si>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</si>
  <si>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</si>
  <si>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</si>
  <si>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</si>
  <si>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</si>
  <si>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</si>
  <si>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</si>
  <si>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</si>
  <si>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</si>
  <si>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</si>
  <si>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</si>
  <si>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</si>
  <si>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</si>
  <si>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</si>
  <si>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</si>
  <si>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</si>
  <si>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</si>
  <si>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</si>
  <si>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</si>
  <si>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</si>
  <si>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</si>
  <si>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</si>
  <si>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</si>
  <si>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</si>
  <si>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</si>
  <si>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</si>
  <si>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</si>
  <si>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</si>
  <si>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</si>
  <si>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</si>
  <si>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</si>
  <si>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</si>
  <si>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</si>
  <si>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</si>
  <si>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</si>
  <si>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</si>
  <si>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</si>
  <si>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</si>
  <si>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</si>
  <si>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</si>
  <si>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</si>
  <si>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</si>
  <si>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</si>
  <si>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</si>
  <si>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</si>
  <si>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</si>
  <si>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</si>
  <si>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</si>
  <si>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</si>
  <si>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</si>
  <si>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</si>
  <si>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</si>
  <si>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</si>
  <si>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</si>
  <si>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</si>
  <si>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</si>
  <si>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</si>
  <si>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</si>
  <si>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</si>
  <si>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</si>
  <si>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</si>
  <si>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</si>
  <si>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</si>
  <si>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</si>
  <si>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</si>
  <si>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</si>
  <si>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</si>
  <si>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</si>
  <si>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</si>
  <si>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</si>
  <si>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</si>
  <si>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</si>
  <si>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</si>
  <si>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</si>
  <si>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</si>
  <si>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</si>
  <si>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</si>
  <si>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</si>
  <si>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</si>
  <si>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</si>
  <si>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</si>
  <si>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</si>
  <si>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</si>
  <si>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</si>
  <si>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</si>
  <si>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</si>
  <si>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</si>
  <si>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</si>
  <si>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</si>
  <si>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</si>
  <si>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</si>
  <si>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</si>
  <si>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</si>
  <si>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</si>
  <si>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</si>
  <si>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</si>
  <si>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</si>
  <si>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</si>
  <si>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</si>
  <si>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</si>
  <si>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</si>
  <si>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</si>
  <si>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</si>
  <si>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</si>
  <si>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</si>
  <si>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</si>
  <si>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</si>
  <si>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</si>
  <si>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</si>
  <si>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</si>
  <si>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</si>
  <si>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</si>
  <si>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</si>
  <si>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</si>
  <si>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</si>
  <si>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</si>
  <si>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</si>
  <si>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</si>
  <si>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</si>
  <si>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</si>
  <si>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</si>
  <si>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</si>
  <si>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</si>
  <si>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</si>
  <si>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</si>
  <si>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</si>
  <si>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</si>
  <si>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</si>
  <si>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</si>
  <si>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</si>
  <si>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</si>
  <si>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</si>
  <si>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</si>
  <si>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</si>
  <si>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</si>
  <si>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</si>
  <si>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</si>
  <si>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</si>
  <si>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</si>
  <si>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</si>
  <si>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</si>
  <si>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</si>
  <si>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</si>
  <si>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</si>
  <si>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</si>
  <si>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</si>
  <si>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</si>
  <si>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</si>
  <si>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</si>
  <si>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</si>
  <si>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</si>
  <si>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</si>
  <si>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</si>
  <si>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</si>
  <si>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</si>
  <si>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</si>
  <si>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</si>
  <si>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</si>
  <si>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</si>
  <si>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</si>
  <si>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</si>
  <si>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</si>
  <si>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</si>
  <si>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</si>
  <si>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</si>
  <si>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</si>
  <si>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</si>
  <si>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</si>
  <si>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</si>
  <si>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</si>
  <si>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</si>
  <si>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</si>
  <si>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</si>
  <si>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</si>
  <si>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</si>
  <si>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</si>
  <si>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</si>
  <si>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</si>
  <si>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</si>
  <si>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</si>
  <si>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</si>
  <si>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</si>
  <si>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</si>
  <si>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</si>
  <si>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</si>
  <si>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</si>
  <si>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</si>
  <si>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</si>
  <si>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</si>
  <si>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</si>
  <si>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</si>
  <si>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</si>
  <si>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</si>
  <si>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</si>
  <si>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</si>
  <si>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</si>
  <si>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</si>
  <si>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</si>
  <si>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</si>
  <si>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</si>
  <si>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</si>
  <si>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</si>
  <si>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</si>
  <si>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</si>
  <si>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</si>
  <si>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</si>
  <si>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</si>
  <si>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</si>
  <si>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</si>
  <si>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</si>
  <si>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</si>
  <si>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</si>
  <si>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</si>
  <si>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</si>
  <si>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</si>
  <si>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</si>
  <si>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</si>
  <si>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</si>
  <si>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</si>
  <si>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</si>
  <si>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</si>
  <si>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</si>
  <si>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</si>
  <si>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</si>
  <si>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</si>
  <si>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</si>
  <si>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</si>
  <si>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</si>
  <si>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</si>
  <si>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</si>
  <si>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</si>
  <si>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</si>
  <si>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</si>
  <si>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</si>
  <si>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</si>
  <si>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</si>
  <si>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</si>
  <si>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</si>
  <si>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</si>
  <si>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</si>
  <si>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</si>
  <si>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</si>
  <si>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</si>
  <si>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</si>
  <si>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</si>
  <si>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</si>
  <si>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</si>
  <si>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</si>
  <si>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</si>
  <si>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</si>
  <si>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</si>
  <si>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</si>
  <si>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</si>
  <si>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</si>
  <si>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</si>
  <si>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</si>
  <si>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</si>
  <si>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</si>
  <si>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</si>
  <si>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</si>
  <si>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</si>
  <si>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</si>
  <si>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</si>
  <si>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</si>
  <si>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</si>
  <si>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</si>
  <si>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</si>
  <si>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</si>
  <si>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</si>
  <si>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</si>
  <si>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</si>
  <si>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</si>
  <si>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</si>
  <si>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</si>
  <si>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</si>
  <si>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</si>
  <si>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</si>
  <si>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</si>
  <si>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</si>
  <si>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</si>
  <si>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</si>
  <si>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</si>
  <si>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</si>
  <si>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</si>
  <si>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</si>
  <si>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</si>
  <si>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</si>
  <si>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</si>
  <si>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</si>
  <si>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</si>
  <si>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</si>
  <si>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</si>
  <si>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</si>
  <si>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</si>
  <si>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</si>
  <si>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</si>
  <si>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</si>
  <si>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</si>
  <si>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</si>
  <si>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</si>
  <si>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</si>
  <si>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</si>
  <si>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</si>
  <si>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</si>
  <si>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</si>
  <si>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</si>
  <si>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</si>
  <si>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</si>
  <si>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</si>
  <si>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</si>
  <si>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</si>
  <si>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</si>
  <si>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</si>
  <si>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</si>
  <si>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</si>
  <si>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</si>
  <si>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</si>
  <si>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</si>
  <si>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</si>
  <si>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</si>
  <si>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</si>
  <si>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</si>
  <si>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</si>
  <si>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</si>
  <si>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</si>
  <si>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</si>
  <si>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</si>
  <si>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</si>
  <si>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</si>
  <si>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</si>
  <si>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</si>
  <si>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</si>
  <si>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</si>
  <si>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</si>
  <si>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</si>
  <si>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</si>
  <si>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</si>
  <si>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</si>
  <si>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</si>
  <si>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</si>
  <si>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</si>
  <si>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</si>
  <si>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</si>
  <si>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</si>
  <si>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</si>
  <si>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</si>
  <si>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</si>
  <si>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</si>
  <si>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</si>
  <si>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</si>
  <si>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</si>
  <si>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</si>
  <si>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</si>
  <si>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</si>
  <si>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</si>
  <si>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</si>
  <si>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</si>
  <si>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</si>
  <si>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</si>
  <si>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</si>
  <si>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</si>
  <si>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</si>
  <si>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</si>
  <si>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</si>
  <si>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</si>
  <si>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</si>
  <si>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</si>
  <si>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</si>
  <si>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</si>
  <si>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</si>
  <si>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</si>
  <si>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</si>
  <si>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</si>
  <si>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</si>
  <si>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</si>
  <si>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</si>
  <si>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</si>
  <si>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</si>
  <si>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</si>
  <si>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</si>
  <si>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</si>
  <si>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</si>
  <si>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</si>
  <si>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</si>
  <si>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</si>
  <si>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</si>
  <si>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</si>
  <si>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</si>
  <si>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</si>
  <si>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</si>
  <si>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</si>
  <si>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</si>
  <si>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</si>
  <si>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</si>
  <si>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</si>
  <si>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</si>
  <si>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</si>
  <si>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</si>
  <si>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</si>
  <si>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</si>
  <si>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</si>
  <si>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</si>
  <si>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</si>
  <si>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</si>
  <si>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</si>
  <si>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</si>
  <si>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</si>
  <si>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</si>
  <si>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</si>
  <si>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</si>
  <si>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</si>
  <si>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</si>
  <si>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</si>
  <si>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</si>
  <si>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</si>
  <si>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</si>
  <si>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</si>
  <si>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</si>
  <si>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</si>
  <si>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</si>
  <si>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</si>
  <si>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</si>
  <si>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</si>
  <si>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</si>
  <si>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</si>
  <si>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</si>
  <si>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</si>
  <si>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</si>
  <si>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</si>
  <si>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</si>
  <si>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</si>
  <si>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</si>
  <si>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</si>
  <si>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</si>
  <si>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</si>
  <si>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</si>
  <si>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</si>
  <si>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</si>
  <si>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</si>
  <si>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</si>
  <si>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</si>
  <si>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</si>
  <si>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</si>
  <si>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</si>
  <si>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</si>
  <si>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</si>
  <si>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</si>
  <si>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</si>
  <si>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</si>
  <si>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</si>
  <si>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</si>
  <si>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</si>
  <si>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</si>
  <si>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</si>
  <si>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</si>
  <si>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</si>
  <si>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</si>
  <si>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</si>
  <si>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</si>
  <si>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</si>
  <si>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</si>
  <si>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</si>
  <si>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</si>
  <si>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</si>
  <si>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</si>
  <si>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</si>
  <si>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</si>
  <si>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</si>
  <si>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</si>
  <si>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</si>
  <si>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</si>
  <si>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</si>
  <si>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</si>
  <si>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</si>
  <si>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</si>
  <si>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</si>
  <si>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</si>
  <si>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</si>
  <si>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</si>
  <si>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</si>
  <si>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</si>
  <si>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</si>
  <si>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</si>
  <si>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</si>
  <si>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</si>
  <si>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</si>
  <si>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</si>
  <si>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</si>
  <si>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</si>
  <si>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</si>
  <si>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</si>
  <si>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</si>
  <si>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</si>
  <si>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</si>
  <si>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</si>
  <si>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</si>
  <si>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</si>
  <si>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</si>
  <si>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</si>
  <si>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</si>
  <si>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</si>
  <si>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</si>
  <si>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</si>
  <si>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</si>
  <si>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</si>
  <si>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</si>
  <si>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</si>
  <si>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</si>
  <si>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</si>
  <si>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</si>
  <si>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</si>
  <si>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</si>
  <si>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</si>
  <si>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</si>
  <si>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</si>
  <si>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</si>
  <si>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</si>
  <si>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</si>
  <si>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</si>
  <si>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</si>
  <si>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</si>
  <si>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</si>
  <si>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</si>
  <si>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</si>
  <si>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</si>
  <si>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</si>
  <si>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</si>
  <si>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</si>
  <si>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</si>
  <si>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</si>
  <si>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</si>
  <si>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</si>
  <si>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</si>
  <si>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</si>
  <si>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</si>
  <si>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</si>
  <si>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</si>
  <si>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</si>
  <si>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</si>
  <si>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</si>
  <si>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</si>
  <si>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</si>
  <si>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</si>
  <si>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</si>
  <si>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</si>
  <si>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</si>
  <si>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</si>
  <si>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</si>
  <si>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</si>
  <si>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</si>
  <si>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</si>
  <si>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</si>
  <si>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</si>
  <si>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</si>
  <si>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</si>
  <si>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</si>
  <si>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</si>
  <si>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</si>
  <si>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</si>
  <si>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</si>
  <si>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</si>
  <si>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</si>
  <si>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</si>
  <si>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</si>
  <si>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</si>
  <si>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</si>
  <si>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</si>
  <si>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</si>
  <si>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</si>
  <si>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</si>
  <si>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</si>
  <si>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</si>
  <si>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</si>
  <si>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</si>
  <si>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</si>
  <si>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</si>
  <si>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</si>
  <si>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</si>
  <si>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</si>
  <si>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</si>
  <si>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</si>
  <si>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</si>
  <si>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</si>
  <si>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</si>
  <si>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</si>
  <si>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</si>
  <si>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</si>
  <si>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</si>
  <si>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</si>
  <si>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</si>
  <si>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</si>
  <si>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</si>
  <si>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</si>
  <si>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</si>
  <si>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</si>
  <si>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</si>
  <si>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</si>
  <si>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</si>
  <si>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</si>
  <si>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</si>
  <si>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</si>
  <si>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</si>
  <si>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</si>
  <si>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</si>
  <si>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</si>
  <si>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</si>
  <si>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</si>
  <si>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</si>
  <si>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</si>
  <si>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</si>
  <si>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</si>
  <si>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</si>
  <si>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</si>
  <si>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</si>
  <si>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</si>
  <si>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</si>
  <si>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</si>
  <si>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</si>
  <si>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</si>
  <si>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</si>
  <si>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</si>
  <si>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</si>
  <si>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</si>
  <si>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</si>
  <si>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</si>
  <si>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</si>
  <si>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</si>
  <si>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</si>
  <si>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</si>
  <si>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</si>
  <si>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</si>
  <si>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</si>
  <si>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</si>
  <si>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</si>
  <si>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</si>
  <si>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</si>
  <si>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</si>
  <si>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</si>
  <si>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</si>
  <si>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</si>
  <si>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</si>
  <si>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</si>
  <si>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</si>
  <si>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</si>
  <si>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</si>
  <si>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</si>
  <si>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</si>
  <si>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</si>
  <si>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</si>
  <si>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</si>
  <si>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</si>
  <si>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</si>
  <si>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</si>
  <si>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</si>
  <si>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</si>
  <si>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</si>
  <si>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</si>
  <si>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</si>
  <si>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</si>
  <si>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</si>
  <si>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</si>
  <si>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</si>
  <si>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</si>
  <si>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</si>
  <si>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</si>
  <si>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</si>
  <si>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</si>
  <si>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</si>
  <si>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</si>
  <si>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</si>
  <si>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</si>
  <si>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</si>
  <si>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</si>
  <si>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</si>
  <si>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</si>
  <si>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</si>
  <si>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</si>
  <si>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</si>
  <si>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</si>
  <si>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</si>
  <si>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</si>
  <si>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</si>
  <si>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</si>
  <si>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</si>
  <si>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</si>
  <si>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</si>
  <si>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</si>
  <si>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</si>
  <si>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</si>
  <si>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</si>
  <si>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</si>
  <si>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</si>
  <si>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</si>
  <si>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</si>
  <si>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</si>
  <si>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</si>
  <si>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</si>
  <si>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</si>
  <si>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</si>
  <si>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</si>
  <si>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</si>
  <si>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</si>
  <si>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</si>
  <si>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</si>
  <si>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</si>
  <si>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</si>
  <si>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</si>
  <si>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</si>
  <si>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</si>
  <si>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</si>
  <si>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</si>
  <si>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</si>
  <si>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</si>
  <si>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</si>
  <si>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</si>
  <si>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</si>
  <si>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</si>
  <si>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</si>
  <si>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</si>
  <si>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</si>
  <si>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</si>
  <si>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</si>
  <si>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</si>
  <si>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</si>
  <si>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</si>
  <si>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</si>
  <si>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</si>
  <si>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</si>
  <si>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</si>
  <si>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</si>
  <si>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</si>
  <si>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</si>
  <si>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</si>
  <si>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</si>
  <si>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</si>
  <si>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</si>
  <si>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</si>
  <si>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</si>
  <si>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</si>
  <si>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</si>
  <si>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</si>
  <si>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</si>
  <si>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</si>
  <si>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</si>
  <si>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</si>
  <si>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</si>
  <si>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</si>
  <si>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</si>
  <si>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</si>
  <si>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</si>
  <si>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</si>
  <si>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</si>
  <si>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</si>
  <si>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</si>
  <si>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</si>
  <si>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</si>
  <si>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</si>
  <si>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</si>
  <si>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</si>
  <si>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</si>
  <si>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</si>
  <si>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</si>
  <si>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</si>
  <si>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</si>
  <si>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</si>
  <si>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</si>
  <si>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</si>
  <si>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</si>
  <si>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</si>
  <si>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</si>
  <si>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</si>
  <si>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</si>
  <si>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</si>
  <si>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</si>
  <si>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</si>
  <si>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</si>
  <si>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</si>
  <si>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</si>
  <si>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</si>
  <si>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</si>
  <si>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</si>
  <si>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</si>
  <si>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</si>
  <si>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</si>
  <si>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</si>
  <si>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</si>
  <si>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</si>
  <si>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</si>
  <si>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</si>
  <si>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</si>
  <si>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</si>
  <si>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</si>
  <si>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</si>
  <si>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</si>
  <si>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</si>
  <si>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</si>
  <si>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</si>
  <si>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</si>
  <si>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</si>
  <si>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</si>
  <si>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</si>
  <si>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</si>
  <si>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</si>
  <si>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</si>
  <si>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</si>
  <si>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</si>
  <si>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</si>
  <si>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</si>
  <si>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</si>
  <si>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</si>
  <si>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</si>
  <si>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</si>
  <si>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</si>
  <si>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</si>
  <si>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</si>
  <si>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</si>
  <si>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</si>
  <si>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</si>
  <si>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</si>
  <si>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</si>
  <si>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</si>
  <si>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</si>
  <si>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</si>
  <si>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</si>
  <si>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</si>
  <si>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</si>
  <si>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</si>
  <si>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</si>
  <si>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</si>
  <si>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</si>
  <si>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</si>
  <si>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</si>
  <si>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</si>
  <si>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</si>
  <si>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</si>
  <si>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</si>
  <si>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</si>
  <si>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</si>
  <si>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</si>
  <si>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</si>
  <si>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</si>
  <si>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</si>
  <si>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</si>
  <si>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</si>
  <si>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</si>
  <si>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</si>
  <si>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</si>
  <si>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</si>
  <si>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</si>
  <si>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</si>
  <si>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</si>
  <si>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</si>
  <si>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</si>
  <si>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</si>
  <si>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</si>
  <si>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</si>
  <si>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</si>
  <si>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</si>
  <si>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</si>
  <si>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</si>
  <si>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</si>
  <si>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</si>
  <si>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</si>
  <si>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</si>
  <si>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</si>
  <si>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</si>
  <si>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</si>
  <si>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</si>
  <si>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</si>
  <si>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</si>
  <si>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</si>
  <si>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</si>
  <si>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</si>
  <si>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</si>
  <si>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</si>
  <si>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</si>
  <si>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</si>
  <si>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</si>
  <si>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</si>
  <si>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</si>
  <si>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</si>
  <si>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</si>
  <si>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</si>
  <si>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</si>
  <si>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</si>
  <si>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</si>
  <si>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</si>
  <si>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</si>
  <si>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</si>
  <si>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</si>
  <si>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</si>
  <si>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</si>
  <si>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</si>
  <si>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</si>
  <si>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</si>
  <si>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</si>
  <si>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</si>
  <si>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</si>
  <si>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</si>
  <si>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</si>
  <si>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</si>
  <si>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</si>
  <si>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</si>
  <si>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</si>
  <si>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</si>
  <si>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</si>
  <si>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</si>
  <si>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</si>
  <si>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</si>
  <si>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</si>
  <si>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</si>
  <si>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</si>
  <si>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</si>
  <si>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</si>
  <si>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</si>
  <si>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</si>
  <si>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</si>
  <si>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</si>
  <si>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</si>
  <si>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</si>
  <si>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</si>
  <si>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</si>
  <si>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</si>
  <si>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</si>
  <si>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</si>
  <si>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</si>
  <si>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</si>
  <si>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</si>
  <si>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</si>
  <si>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</si>
  <si>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</si>
  <si>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</si>
  <si>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</si>
  <si>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</si>
  <si>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</si>
  <si>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</si>
  <si>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</si>
  <si>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</si>
  <si>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</si>
  <si>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</si>
  <si>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</si>
  <si>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</si>
  <si>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</si>
  <si>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</si>
  <si>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</si>
  <si>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</si>
  <si>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</si>
  <si>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</si>
  <si>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</si>
  <si>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</si>
  <si>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</si>
  <si>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</si>
  <si>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</si>
  <si>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</si>
  <si>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</si>
  <si>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</si>
  <si>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</si>
  <si>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</si>
  <si>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</si>
  <si>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</si>
  <si>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</si>
  <si>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</si>
  <si>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</si>
  <si>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</si>
  <si>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</si>
  <si>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</si>
  <si>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</si>
  <si>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</si>
  <si>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</si>
  <si>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</si>
  <si>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</si>
  <si>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</si>
  <si>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</si>
  <si>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</si>
  <si>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</si>
  <si>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</si>
  <si>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</si>
  <si>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</si>
  <si>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</si>
  <si>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</si>
  <si>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</si>
  <si>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</si>
  <si>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</si>
  <si>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</si>
  <si>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</si>
  <si>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</si>
  <si>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</si>
  <si>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</si>
  <si>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</si>
  <si>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</si>
  <si>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</si>
  <si>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</si>
  <si>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</si>
  <si>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</si>
  <si>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</si>
  <si>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</si>
  <si>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</si>
  <si>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</si>
  <si>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</si>
  <si>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</si>
  <si>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</si>
  <si>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</si>
  <si>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</si>
  <si>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</si>
  <si>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</si>
  <si>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</si>
  <si>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</si>
  <si>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</si>
  <si>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</si>
  <si>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</si>
  <si>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</si>
  <si>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</si>
  <si>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</si>
  <si>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</si>
  <si>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</si>
  <si>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</si>
  <si>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</si>
  <si>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</si>
  <si>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</si>
  <si>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</si>
  <si>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</si>
  <si>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</si>
  <si>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</si>
  <si>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</si>
  <si>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</si>
  <si>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</si>
  <si>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</si>
  <si>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</si>
  <si>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</si>
  <si>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</si>
  <si>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</si>
  <si>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</si>
  <si>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</si>
  <si>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</si>
  <si>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</si>
  <si>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</si>
  <si>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</si>
  <si>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</si>
  <si>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</si>
  <si>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</si>
  <si>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</si>
  <si>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</si>
  <si>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</si>
  <si>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</si>
  <si>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</si>
  <si>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</si>
  <si>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</si>
  <si>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</si>
  <si>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</si>
  <si>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</si>
  <si>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</si>
  <si>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</si>
  <si>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</si>
  <si>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</si>
  <si>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</si>
  <si>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</si>
  <si>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</si>
  <si>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</si>
  <si>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</si>
  <si>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</si>
  <si>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</si>
  <si>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</si>
  <si>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</si>
  <si>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</si>
  <si>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</si>
  <si>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</si>
  <si>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</si>
  <si>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</si>
  <si>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</si>
  <si>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</si>
  <si>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</si>
  <si>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</si>
  <si>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</si>
  <si>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</si>
  <si>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</si>
  <si>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</si>
  <si>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</si>
  <si>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</si>
  <si>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</si>
  <si>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</si>
  <si>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</si>
  <si>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</si>
  <si>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</si>
  <si>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</si>
  <si>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</si>
  <si>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</si>
  <si>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</si>
  <si>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</si>
  <si>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</si>
  <si>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</si>
  <si>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</si>
  <si>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</si>
  <si>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</si>
  <si>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</si>
  <si>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</si>
  <si>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</si>
  <si>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</si>
  <si>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</si>
  <si>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</si>
  <si>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</si>
  <si>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</si>
  <si>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</si>
  <si>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</si>
  <si>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</si>
  <si>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</si>
  <si>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</si>
  <si>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</si>
  <si>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</si>
  <si>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</si>
  <si>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</si>
  <si>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</si>
  <si>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</si>
  <si>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</si>
  <si>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</si>
  <si>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</si>
  <si>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</si>
  <si>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</si>
  <si>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</si>
  <si>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</si>
  <si>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</si>
  <si>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</si>
  <si>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</si>
  <si>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</si>
  <si>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</si>
  <si>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</si>
  <si>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</si>
  <si>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</si>
  <si>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</si>
  <si>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</si>
  <si>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</si>
  <si>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</si>
  <si>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</si>
  <si>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</si>
  <si>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</si>
  <si>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</si>
  <si>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</si>
  <si>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</si>
  <si>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</si>
  <si>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</si>
  <si>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</si>
  <si>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</si>
  <si>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</si>
  <si>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</si>
  <si>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</si>
  <si>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</si>
  <si>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</si>
  <si>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</si>
  <si>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</si>
  <si>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</si>
  <si>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</si>
  <si>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</si>
  <si>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</si>
  <si>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</si>
  <si>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</si>
  <si>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</si>
  <si>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</si>
  <si>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</si>
  <si>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</si>
  <si>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</si>
  <si>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</si>
  <si>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</si>
  <si>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</si>
  <si>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</si>
  <si>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</si>
  <si>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</si>
  <si>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</si>
  <si>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</si>
  <si>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</si>
  <si>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</si>
  <si>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</si>
  <si>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</si>
  <si>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</si>
  <si>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</si>
  <si>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</si>
  <si>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</si>
  <si>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</si>
  <si>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</si>
  <si>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</si>
  <si>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</si>
  <si>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</si>
  <si>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</si>
  <si>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</si>
  <si>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</si>
  <si>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</si>
  <si>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</si>
  <si>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</si>
  <si>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</si>
  <si>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</si>
  <si>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</si>
  <si>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</si>
  <si>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</si>
  <si>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</si>
  <si>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</si>
  <si>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</si>
  <si>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</si>
  <si>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</si>
  <si>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</si>
  <si>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</si>
  <si>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</si>
  <si>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</si>
  <si>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</si>
  <si>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</si>
  <si>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</si>
  <si>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</si>
  <si>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</si>
  <si>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</si>
  <si>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</si>
  <si>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</si>
  <si>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</si>
  <si>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</si>
  <si>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</si>
  <si>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</si>
  <si>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</si>
  <si>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</si>
  <si>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</si>
  <si>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</si>
  <si>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</si>
  <si>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</si>
  <si>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</si>
  <si>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</si>
  <si>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</si>
  <si>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</si>
  <si>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</si>
  <si>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</si>
  <si>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</si>
  <si>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</si>
  <si>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</si>
  <si>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</si>
  <si>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</si>
  <si>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</si>
  <si>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</si>
  <si>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</si>
  <si>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</si>
  <si>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</si>
  <si>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</si>
  <si>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</si>
  <si>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</si>
  <si>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</si>
  <si>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</si>
  <si>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</si>
  <si>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</si>
  <si>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</si>
  <si>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</si>
  <si>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</si>
  <si>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</si>
  <si>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</si>
  <si>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</si>
  <si>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</si>
  <si>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</si>
  <si>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</si>
  <si>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</si>
  <si>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</si>
  <si>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</si>
  <si>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</si>
  <si>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</si>
  <si>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</si>
  <si>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</si>
  <si>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</si>
  <si>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</si>
  <si>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</si>
  <si>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</si>
  <si>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</si>
  <si>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</si>
  <si>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</si>
  <si>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</si>
  <si>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</si>
  <si>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</si>
  <si>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</si>
  <si>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</si>
  <si>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</si>
  <si>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</si>
  <si>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</si>
  <si>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</si>
  <si>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</si>
  <si>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</si>
  <si>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</si>
  <si>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</si>
  <si>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</si>
  <si>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</si>
  <si>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</si>
  <si>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</si>
  <si>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</si>
  <si>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</si>
  <si>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</si>
  <si>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</si>
  <si>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</si>
  <si>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</si>
  <si>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</si>
  <si>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</si>
  <si>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</si>
  <si>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</si>
  <si>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</si>
  <si>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</si>
  <si>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</si>
  <si>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</si>
  <si>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</si>
  <si>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</si>
  <si>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</si>
  <si>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</si>
  <si>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</si>
  <si>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</si>
  <si>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</si>
  <si>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</si>
  <si>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</si>
  <si>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</si>
  <si>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</si>
  <si>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</si>
  <si>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</si>
  <si>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</si>
  <si>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</si>
  <si>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</si>
  <si>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</si>
  <si>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</si>
  <si>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</si>
  <si>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</si>
  <si>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</si>
  <si>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</si>
  <si>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</si>
  <si>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</si>
  <si>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</si>
  <si>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</si>
  <si>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</si>
  <si>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</si>
  <si>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</si>
  <si>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</si>
  <si>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</si>
  <si>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</si>
  <si>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</si>
  <si>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</si>
  <si>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</si>
  <si>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</si>
  <si>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</si>
  <si>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</si>
  <si>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</si>
  <si>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</si>
  <si>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</si>
  <si>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</si>
  <si>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</si>
  <si>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</si>
  <si>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</si>
  <si>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</si>
  <si>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</si>
  <si>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</si>
  <si>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</si>
  <si>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</si>
  <si>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</si>
  <si>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</si>
  <si>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</si>
  <si>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</si>
  <si>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</si>
  <si>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</si>
  <si>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</si>
  <si>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</si>
  <si>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</si>
  <si>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</si>
  <si>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</si>
  <si>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</si>
  <si>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</si>
  <si>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</si>
  <si>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</si>
  <si>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</si>
  <si>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</si>
  <si>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</si>
  <si>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</si>
  <si>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</si>
  <si>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</si>
  <si>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</si>
  <si>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</si>
  <si>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</si>
  <si>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</si>
  <si>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</si>
  <si>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</si>
  <si>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</si>
  <si>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</si>
  <si>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</si>
  <si>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</si>
  <si>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</si>
  <si>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</si>
  <si>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</si>
  <si>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</si>
  <si>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</si>
  <si>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</si>
  <si>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</si>
  <si>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</si>
  <si>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</si>
  <si>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</si>
  <si>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</si>
  <si>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</si>
  <si>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</si>
  <si>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</si>
  <si>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</si>
  <si>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</si>
  <si>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</si>
  <si>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</si>
  <si>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</si>
  <si>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</si>
  <si>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</si>
  <si>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</si>
  <si>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</si>
  <si>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</si>
  <si>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</si>
  <si>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</si>
  <si>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</si>
  <si>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</si>
  <si>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</si>
  <si>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</si>
  <si>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</si>
  <si>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</si>
  <si>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</si>
  <si>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</si>
  <si>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</si>
  <si>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</si>
  <si>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</si>
  <si>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</si>
  <si>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</si>
  <si>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</si>
  <si>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</si>
  <si>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</si>
  <si>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</si>
  <si>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</si>
  <si>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</si>
  <si>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</si>
  <si>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</si>
  <si>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</si>
  <si>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</si>
  <si>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</si>
  <si>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</si>
  <si>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</si>
  <si>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</si>
  <si>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</si>
  <si>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</si>
  <si>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</si>
  <si>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</si>
  <si>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</si>
  <si>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</si>
  <si>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</si>
  <si>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</si>
  <si>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</si>
  <si>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</si>
  <si>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</si>
  <si>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</si>
  <si>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</si>
  <si>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</si>
  <si>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</si>
  <si>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</si>
  <si>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</si>
  <si>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</si>
  <si>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</si>
  <si>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</si>
  <si>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</si>
  <si>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</si>
  <si>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</si>
  <si>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</si>
  <si>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</si>
  <si>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</si>
  <si>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</si>
  <si>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</si>
  <si>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</si>
  <si>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</si>
  <si>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</si>
  <si>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</si>
  <si>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</si>
  <si>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</si>
  <si>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</si>
  <si>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</si>
  <si>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</si>
  <si>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</si>
  <si>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</si>
  <si>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</si>
  <si>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</si>
  <si>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</si>
  <si>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</si>
  <si>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</si>
  <si>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</si>
  <si>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</si>
  <si>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</si>
  <si>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</si>
  <si>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</si>
  <si>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</si>
  <si>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</si>
  <si>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</si>
  <si>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</si>
  <si>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</si>
  <si>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</si>
  <si>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</si>
  <si>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</si>
  <si>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</si>
  <si>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</si>
  <si>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</si>
  <si>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</si>
  <si>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</si>
  <si>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</si>
  <si>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</si>
  <si>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</si>
  <si>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</si>
  <si>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</si>
  <si>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</si>
  <si>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</si>
  <si>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</si>
  <si>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</si>
  <si>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</si>
  <si>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</si>
  <si>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</si>
  <si>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</si>
  <si>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</si>
  <si>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</si>
  <si>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</si>
  <si>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</si>
  <si>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</si>
  <si>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</si>
  <si>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</si>
  <si>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</si>
  <si>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</si>
  <si>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</si>
  <si>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</si>
  <si>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</si>
  <si>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</si>
  <si>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</si>
  <si>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</si>
  <si>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</si>
  <si>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</si>
  <si>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</si>
  <si>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</si>
  <si>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</si>
  <si>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</si>
  <si>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</si>
  <si>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</si>
  <si>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</si>
  <si>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</si>
  <si>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</si>
  <si>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</si>
  <si>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</si>
  <si>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</si>
  <si>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</si>
  <si>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</si>
  <si>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</si>
  <si>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</si>
  <si>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</si>
  <si>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</si>
  <si>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</si>
  <si>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</si>
  <si>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</si>
  <si>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</si>
  <si>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</si>
  <si>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</si>
  <si>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</si>
  <si>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</si>
  <si>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</si>
  <si>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</si>
  <si>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</si>
  <si>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</si>
  <si>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</si>
  <si>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</si>
  <si>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</si>
  <si>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</si>
  <si>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</si>
  <si>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</si>
  <si>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</si>
  <si>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</si>
  <si>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</si>
  <si>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</si>
  <si>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</si>
  <si>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</si>
  <si>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</si>
  <si>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</si>
  <si>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</si>
  <si>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</si>
  <si>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</si>
  <si>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</si>
  <si>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</si>
  <si>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</si>
  <si>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</si>
  <si>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</si>
  <si>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</si>
  <si>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</si>
  <si>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</si>
  <si>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</si>
  <si>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</si>
  <si>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</si>
  <si>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</si>
  <si>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</si>
  <si>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</si>
  <si>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</si>
  <si>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</si>
  <si>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</si>
  <si>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</si>
  <si>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</si>
  <si>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</si>
  <si>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</si>
  <si>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</si>
  <si>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</si>
  <si>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</si>
  <si>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</si>
  <si>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</si>
  <si>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</si>
  <si>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</si>
  <si>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</si>
  <si>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</si>
  <si>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</si>
  <si>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</si>
  <si>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</si>
  <si>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</si>
  <si>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</si>
  <si>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</si>
  <si>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</si>
  <si>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</si>
  <si>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</si>
  <si>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</si>
  <si>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</si>
  <si>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</si>
  <si>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</si>
  <si>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</si>
  <si>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</si>
  <si>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</si>
  <si>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</si>
  <si>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</si>
  <si>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</si>
  <si>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</si>
  <si>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</si>
  <si>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</si>
  <si>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</si>
  <si>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</si>
  <si>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</si>
  <si>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</si>
  <si>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</si>
  <si>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</si>
  <si>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</si>
  <si>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</si>
  <si>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</si>
  <si>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</si>
  <si>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</si>
  <si>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</si>
  <si>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</si>
  <si>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</si>
  <si>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</si>
  <si>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</si>
  <si>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</si>
  <si>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</si>
  <si>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</si>
  <si>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</si>
  <si>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</si>
  <si>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</si>
  <si>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</si>
  <si>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</si>
  <si>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</si>
  <si>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</si>
  <si>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</si>
  <si>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</si>
  <si>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</si>
  <si>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</si>
  <si>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</si>
  <si>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</si>
  <si>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</si>
  <si>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</si>
  <si>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</si>
  <si>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</si>
  <si>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</si>
  <si>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</si>
  <si>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</si>
  <si>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</si>
  <si>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</si>
  <si>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</si>
  <si>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</si>
  <si>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</si>
  <si>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</si>
  <si>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</si>
  <si>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</si>
  <si>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</si>
  <si>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</si>
  <si>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</si>
  <si>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</si>
  <si>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</si>
  <si>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</si>
  <si>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</si>
  <si>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</si>
  <si>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</si>
  <si>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</si>
  <si>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</si>
  <si>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</si>
  <si>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</si>
  <si>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</si>
  <si>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</si>
  <si>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</si>
  <si>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</si>
  <si>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</si>
  <si>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</si>
  <si>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</si>
  <si>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</si>
  <si>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</si>
  <si>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</si>
  <si>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</si>
  <si>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</si>
  <si>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</si>
  <si>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</si>
  <si>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</si>
  <si>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</si>
  <si>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</si>
  <si>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</si>
  <si>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</si>
  <si>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</si>
  <si>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</si>
  <si>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</si>
  <si>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</si>
  <si>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</si>
  <si>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</si>
  <si>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</si>
  <si>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</si>
  <si>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</si>
  <si>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</si>
  <si>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</si>
  <si>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</si>
  <si>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</si>
  <si>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</si>
  <si>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</si>
  <si>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</si>
  <si>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</si>
  <si>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</si>
  <si>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</si>
  <si>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</si>
  <si>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</si>
  <si>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</si>
  <si>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</si>
  <si>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</si>
  <si>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</si>
  <si>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</si>
  <si>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</si>
  <si>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</si>
  <si>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</si>
  <si>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</si>
  <si>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</si>
  <si>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</si>
  <si>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</si>
  <si>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</si>
  <si>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</si>
  <si>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</si>
  <si>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</si>
  <si>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</si>
  <si>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</si>
  <si>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</si>
  <si>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</si>
  <si>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</si>
  <si>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</si>
  <si>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</si>
  <si>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</si>
  <si>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</si>
  <si>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</si>
  <si>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</si>
  <si>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</si>
  <si>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</si>
  <si>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</si>
  <si>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</si>
  <si>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</si>
  <si>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</si>
  <si>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</si>
  <si>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</si>
  <si>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</si>
  <si>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</si>
  <si>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</si>
  <si>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</si>
  <si>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</si>
  <si>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</si>
  <si>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</si>
  <si>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</si>
  <si>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</si>
  <si>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</si>
  <si>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</si>
  <si>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</si>
  <si>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</si>
  <si>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</si>
  <si>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</si>
  <si>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</si>
  <si>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</si>
  <si>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</si>
  <si>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</si>
  <si>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</si>
  <si>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</si>
  <si>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</si>
  <si>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</si>
  <si>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</si>
  <si>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</si>
  <si>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</si>
  <si>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</si>
  <si>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</si>
  <si>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</si>
  <si>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</si>
  <si>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</si>
  <si>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</si>
  <si>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</si>
  <si>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</si>
  <si>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</si>
  <si>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</si>
  <si>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</si>
  <si>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</si>
  <si>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</si>
  <si>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</si>
  <si>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</si>
  <si>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</si>
  <si>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</si>
  <si>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</si>
  <si>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</si>
  <si>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</si>
  <si>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</si>
  <si>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</si>
  <si>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</si>
  <si>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</si>
  <si>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</si>
  <si>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</si>
  <si>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</si>
  <si>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</si>
  <si>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</si>
  <si>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</si>
  <si>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</si>
  <si>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</si>
  <si>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</si>
  <si>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</si>
  <si>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</si>
  <si>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</si>
  <si>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</si>
  <si>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</si>
  <si>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</si>
  <si>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</si>
  <si>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</si>
  <si>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</si>
  <si>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</si>
  <si>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</si>
  <si>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</si>
  <si>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</si>
  <si>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</si>
  <si>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</si>
  <si>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</si>
  <si>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</si>
  <si>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</si>
  <si>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</si>
  <si>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</si>
  <si>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</si>
  <si>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</si>
  <si>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</si>
  <si>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</si>
  <si>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</si>
  <si>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</si>
  <si>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</si>
  <si>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</si>
  <si>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</si>
  <si>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</si>
  <si>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</si>
  <si>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</si>
  <si>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</si>
  <si>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</si>
  <si>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</si>
  <si>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</si>
  <si>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</si>
  <si>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</si>
  <si>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</si>
  <si>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</si>
  <si>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</si>
  <si>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</si>
  <si>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</si>
  <si>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</si>
  <si>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</si>
  <si>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</si>
  <si>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</si>
  <si>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</si>
  <si>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</si>
  <si>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</si>
  <si>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</si>
  <si>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</si>
  <si>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</si>
  <si>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</si>
  <si>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</si>
  <si>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</si>
  <si>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</si>
  <si>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</si>
  <si>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</si>
  <si>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</si>
  <si>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</si>
  <si>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</si>
  <si>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</si>
  <si>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</si>
  <si>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</si>
  <si>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</si>
  <si>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</si>
  <si>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</si>
  <si>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</si>
  <si>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</si>
  <si>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</si>
  <si>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</si>
  <si>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</si>
  <si>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</si>
  <si>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</si>
  <si>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</si>
  <si>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</si>
  <si>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</si>
  <si>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</si>
  <si>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</si>
  <si>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</si>
  <si>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</si>
  <si>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</si>
  <si>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</si>
  <si>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</si>
  <si>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</si>
  <si>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</si>
  <si>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</si>
  <si>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</si>
  <si>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</si>
  <si>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</si>
  <si>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</si>
  <si>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</si>
  <si>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</si>
  <si>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</si>
  <si>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</si>
  <si>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</si>
  <si>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</si>
  <si>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</si>
  <si>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</si>
  <si>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</si>
  <si>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</si>
  <si>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</si>
  <si>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</si>
  <si>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</si>
  <si>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</si>
  <si>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</si>
  <si>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</si>
  <si>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</si>
  <si>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</si>
  <si>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</si>
  <si>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</si>
  <si>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</si>
  <si>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</si>
  <si>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</si>
  <si>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</si>
  <si>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</si>
  <si>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</si>
  <si>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</si>
  <si>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</si>
  <si>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</si>
  <si>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</si>
  <si>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</si>
  <si>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</si>
  <si>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</si>
  <si>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</si>
  <si>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</si>
  <si>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</si>
  <si>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</si>
  <si>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</si>
  <si>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</si>
  <si>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</si>
  <si>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</si>
  <si>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</si>
  <si>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</si>
  <si>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</si>
  <si>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</si>
  <si>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</si>
  <si>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</si>
  <si>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</si>
  <si>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</si>
  <si>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</si>
  <si>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</si>
  <si>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</si>
  <si>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</si>
  <si>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</si>
  <si>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</si>
  <si>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</si>
  <si>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</si>
  <si>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</si>
  <si>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</si>
  <si>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</si>
  <si>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</si>
  <si>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</si>
  <si>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</si>
  <si>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</si>
  <si>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</si>
  <si>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</si>
  <si>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</si>
  <si>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</si>
  <si>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</si>
  <si>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</si>
  <si>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</si>
  <si>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</si>
  <si>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</si>
  <si>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</si>
  <si>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</si>
  <si>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</si>
  <si>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</si>
  <si>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</si>
  <si>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</si>
  <si>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</si>
  <si>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</si>
  <si>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</si>
  <si>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</si>
  <si>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</si>
  <si>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</si>
  <si>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</si>
  <si>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</si>
  <si>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</si>
  <si>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</si>
  <si>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</si>
  <si>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</si>
  <si>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</si>
  <si>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</si>
  <si>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</si>
  <si>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</si>
  <si>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</si>
  <si>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</si>
  <si>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</si>
  <si>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</si>
  <si>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</si>
  <si>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</si>
  <si>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</si>
  <si>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</si>
  <si>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</si>
  <si>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</si>
  <si>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</si>
  <si>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</si>
  <si>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</si>
  <si>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</si>
  <si>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</si>
  <si>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</si>
  <si>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</si>
  <si>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</si>
  <si>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</si>
  <si>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</si>
  <si>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</si>
  <si>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</si>
  <si>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</si>
  <si>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</si>
  <si>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</si>
  <si>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</si>
  <si>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</si>
  <si>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</si>
  <si>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</si>
  <si>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</si>
  <si>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</si>
  <si>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</si>
  <si>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</si>
  <si>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</si>
  <si>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</si>
  <si>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</si>
  <si>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</si>
  <si>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</si>
  <si>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</si>
  <si>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</si>
  <si>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</si>
  <si>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</si>
  <si>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</si>
  <si>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</si>
  <si>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</si>
  <si>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</si>
  <si>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</si>
  <si>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</si>
  <si>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</si>
  <si>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</si>
  <si>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</si>
  <si>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</si>
  <si>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</si>
  <si>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</si>
  <si>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</si>
  <si>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</si>
  <si>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</si>
  <si>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</si>
  <si>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</si>
  <si>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</si>
  <si>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</si>
  <si>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</si>
  <si>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</si>
  <si>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</si>
  <si>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</si>
  <si>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</si>
  <si>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</si>
  <si>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</si>
  <si>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</si>
  <si>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</si>
  <si>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</si>
  <si>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</si>
  <si>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</si>
  <si>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</si>
  <si>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</si>
  <si>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</si>
  <si>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</si>
  <si>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</si>
  <si>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</si>
  <si>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</si>
  <si>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</si>
  <si>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</si>
  <si>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</si>
  <si>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</si>
  <si>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</si>
  <si>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</si>
  <si>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</si>
  <si>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</si>
  <si>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</si>
  <si>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</si>
  <si>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</si>
  <si>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</si>
  <si>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</si>
  <si>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</si>
  <si>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</si>
  <si>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</si>
  <si>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</si>
  <si>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</si>
  <si>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</si>
  <si>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</si>
  <si>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</si>
  <si>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</si>
  <si>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</si>
  <si>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</si>
  <si>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</si>
  <si>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</si>
  <si>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</si>
  <si>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</si>
  <si>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</si>
  <si>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</si>
  <si>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</si>
  <si>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</si>
  <si>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</si>
  <si>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</si>
  <si>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</si>
  <si>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</si>
  <si>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</si>
  <si>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</si>
  <si>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</si>
  <si>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</si>
  <si>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</si>
  <si>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</si>
  <si>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</si>
  <si>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</si>
  <si>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</si>
  <si>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</si>
  <si>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</si>
  <si>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</si>
  <si>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</si>
  <si>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</si>
  <si>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</si>
  <si>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</si>
  <si>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</si>
  <si>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</si>
  <si>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</si>
  <si>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</si>
  <si>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</si>
  <si>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</si>
  <si>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</si>
  <si>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</si>
  <si>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</si>
  <si>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</si>
  <si>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</si>
  <si>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</si>
  <si>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</si>
  <si>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</si>
  <si>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</si>
  <si>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</si>
  <si>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</si>
  <si>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</si>
  <si>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</si>
  <si>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</si>
  <si>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</si>
  <si>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</si>
  <si>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</si>
  <si>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</si>
  <si>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</si>
  <si>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</si>
  <si>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</si>
  <si>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</si>
  <si>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</si>
  <si>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</si>
  <si>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</si>
  <si>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</si>
  <si>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</si>
  <si>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</si>
  <si>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</si>
  <si>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</si>
  <si>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</si>
  <si>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</si>
  <si>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</si>
  <si>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</si>
  <si>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</si>
  <si>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</si>
  <si>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</si>
  <si>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</si>
  <si>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</si>
  <si>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</si>
  <si>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</si>
  <si>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</si>
  <si>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</si>
  <si>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</si>
  <si>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</si>
  <si>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</si>
  <si>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</si>
  <si>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</si>
  <si>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</si>
  <si>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</si>
  <si>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</si>
  <si>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</si>
  <si>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</si>
  <si>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</si>
  <si>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</si>
  <si>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</si>
  <si>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</si>
  <si>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</si>
  <si>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</si>
  <si>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</si>
  <si>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</si>
  <si>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</si>
  <si>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</si>
  <si>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</si>
  <si>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</si>
  <si>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</si>
  <si>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</si>
  <si>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</si>
  <si>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</si>
  <si>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</si>
  <si>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</si>
  <si>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</si>
  <si>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</si>
  <si>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</si>
  <si>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</si>
  <si>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</si>
  <si>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</si>
  <si>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</si>
  <si>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</si>
  <si>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</si>
  <si>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</si>
  <si>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</si>
  <si>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</si>
  <si>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</si>
  <si>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</si>
  <si>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</si>
  <si>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</si>
  <si>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</si>
  <si>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</si>
  <si>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</si>
  <si>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</si>
  <si>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</si>
  <si>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</si>
  <si>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</si>
  <si>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</si>
  <si>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</si>
  <si>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</si>
  <si>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</si>
  <si>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</si>
  <si>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</si>
  <si>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</si>
  <si>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</si>
  <si>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</si>
  <si>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</si>
  <si>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</si>
  <si>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</si>
  <si>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</si>
  <si>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</si>
  <si>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</si>
  <si>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</si>
  <si>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</si>
  <si>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</si>
  <si>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</si>
  <si>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</si>
  <si>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</si>
  <si>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</si>
  <si>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</si>
  <si>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</si>
  <si>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</si>
  <si>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</si>
  <si>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</si>
  <si>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</si>
  <si>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</si>
  <si>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</si>
  <si>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</si>
  <si>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</si>
  <si>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</si>
  <si>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</si>
  <si>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</si>
  <si>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</si>
  <si>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</si>
  <si>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</si>
  <si>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</si>
  <si>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</si>
  <si>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</si>
  <si>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</si>
  <si>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</si>
  <si>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</si>
  <si>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</si>
  <si>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</si>
  <si>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</si>
  <si>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</si>
  <si>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</si>
  <si>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</si>
  <si>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</si>
  <si>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</si>
  <si>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</si>
  <si>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</si>
  <si>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</si>
  <si>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</si>
  <si>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</si>
  <si>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</si>
  <si>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</si>
  <si>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</si>
  <si>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</si>
  <si>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</si>
  <si>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</si>
  <si>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</si>
  <si>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</si>
  <si>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</si>
  <si>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</si>
  <si>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</si>
  <si>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</si>
  <si>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</si>
  <si>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</si>
  <si>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</si>
  <si>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</si>
  <si>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</si>
  <si>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</si>
  <si>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</si>
  <si>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</si>
  <si>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</si>
  <si>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</si>
  <si>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</si>
  <si>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</si>
  <si>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</si>
  <si>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</si>
  <si>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</si>
  <si>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</si>
  <si>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</si>
  <si>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</si>
  <si>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</si>
  <si>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</si>
  <si>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</si>
  <si>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</si>
  <si>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</si>
  <si>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</si>
  <si>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</si>
  <si>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</si>
  <si>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</si>
  <si>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</si>
  <si>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</si>
  <si>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</si>
  <si>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</si>
  <si>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</si>
  <si>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</si>
  <si>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</si>
  <si>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</si>
  <si>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</si>
  <si>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</si>
  <si>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</si>
  <si>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</si>
  <si>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</si>
  <si>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</si>
  <si>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</si>
  <si>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</si>
  <si>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</si>
  <si>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</si>
  <si>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</si>
  <si>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</si>
  <si>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</si>
  <si>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</si>
  <si>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</si>
  <si>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</si>
  <si>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</si>
  <si>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</si>
  <si>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</si>
  <si>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</si>
  <si>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</si>
  <si>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</si>
  <si>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</si>
  <si>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</si>
  <si>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</si>
  <si>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</si>
  <si>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</si>
  <si>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</si>
  <si>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</si>
  <si>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</si>
  <si>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</si>
  <si>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</si>
  <si>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</si>
  <si>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</si>
  <si>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</si>
  <si>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</si>
  <si>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</si>
  <si>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</si>
  <si>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</si>
  <si>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</si>
  <si>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</si>
  <si>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</si>
  <si>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</si>
  <si>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</si>
  <si>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</si>
  <si>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</si>
  <si>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</si>
  <si>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</si>
  <si>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</si>
  <si>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</si>
  <si>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</si>
  <si>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</si>
  <si>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</si>
  <si>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</si>
  <si>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</si>
  <si>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</si>
  <si>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</si>
  <si>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</si>
  <si>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</si>
  <si>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</si>
  <si>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</si>
  <si>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</si>
  <si>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</si>
  <si>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</si>
  <si>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</si>
  <si>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</si>
  <si>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</si>
  <si>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</si>
  <si>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</si>
  <si>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</si>
  <si>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</si>
  <si>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</si>
  <si>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</si>
  <si>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</si>
  <si>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</si>
  <si>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</si>
  <si>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</si>
  <si>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</si>
  <si>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</si>
  <si>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</si>
  <si>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</si>
  <si>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</si>
  <si>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</si>
  <si>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</si>
  <si>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</si>
  <si>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</si>
  <si>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</si>
  <si>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</si>
  <si>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</si>
  <si>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</si>
  <si>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</si>
  <si>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</si>
  <si>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</si>
  <si>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</si>
  <si>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</si>
  <si>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</si>
  <si>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</si>
  <si>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</si>
  <si>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</si>
  <si>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</si>
  <si>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</si>
  <si>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</si>
  <si>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</si>
  <si>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</si>
  <si>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</si>
  <si>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</si>
  <si>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</si>
  <si>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</si>
  <si>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</si>
  <si>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</si>
  <si>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</si>
  <si>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</si>
  <si>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</si>
  <si>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</si>
  <si>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</si>
  <si>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</si>
  <si>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</si>
  <si>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</si>
  <si>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</si>
  <si>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</si>
  <si>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</si>
  <si>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</si>
  <si>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</si>
  <si>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</si>
  <si>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</si>
  <si>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</si>
  <si>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</si>
  <si>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</si>
  <si>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</si>
  <si>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</si>
  <si>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</si>
  <si>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</si>
  <si>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</si>
  <si>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</si>
  <si>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</si>
  <si>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</si>
  <si>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</si>
  <si>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</si>
  <si>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</si>
  <si>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</si>
  <si>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</si>
  <si>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</si>
  <si>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</si>
  <si>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</si>
  <si>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</si>
  <si>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</si>
  <si>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</si>
  <si>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</si>
  <si>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</si>
  <si>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</si>
  <si>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</si>
  <si>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</si>
  <si>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</si>
  <si>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</si>
  <si>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</si>
  <si>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</si>
  <si>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</si>
  <si>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</si>
  <si>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</si>
  <si>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</si>
  <si>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</si>
  <si>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</si>
  <si>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</si>
  <si>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</si>
  <si>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</si>
  <si>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</si>
  <si>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</si>
  <si>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</si>
  <si>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</si>
  <si>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</si>
  <si>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</si>
  <si>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</si>
  <si>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</si>
  <si>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</si>
  <si>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</si>
  <si>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</si>
  <si>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</si>
  <si>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</si>
  <si>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</si>
  <si>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</si>
  <si>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</si>
  <si>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</si>
  <si>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</si>
  <si>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</si>
  <si>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</si>
  <si>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</si>
  <si>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</si>
  <si>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</si>
  <si>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</si>
  <si>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</si>
  <si>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</si>
  <si>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</si>
  <si>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</si>
  <si>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</si>
  <si>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</si>
  <si>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</si>
  <si>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</si>
  <si>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</si>
  <si>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</si>
  <si>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</si>
  <si>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</si>
  <si>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</si>
  <si>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</si>
  <si>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</si>
  <si>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</si>
  <si>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</si>
  <si>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</si>
  <si>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</si>
  <si>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</si>
  <si>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</si>
  <si>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</si>
  <si>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</si>
  <si>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</si>
  <si>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</si>
  <si>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</si>
  <si>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</si>
  <si>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</si>
  <si>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</si>
  <si>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</si>
  <si>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</si>
  <si>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</si>
  <si>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</si>
  <si>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</si>
  <si>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</si>
  <si>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</si>
  <si>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</si>
  <si>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</si>
  <si>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</si>
  <si>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</si>
  <si>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</si>
  <si>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</si>
  <si>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</si>
  <si>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</si>
  <si>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</si>
  <si>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</si>
  <si>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</si>
  <si>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</si>
  <si>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</si>
  <si>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</si>
  <si>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</si>
  <si>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</si>
  <si>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</si>
  <si>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</si>
  <si>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</si>
  <si>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</si>
  <si>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</si>
  <si>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</si>
  <si>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</si>
  <si>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</si>
  <si>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</si>
  <si>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</si>
  <si>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</si>
  <si>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</si>
  <si>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</si>
  <si>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</si>
  <si>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</si>
  <si>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</si>
  <si>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</si>
  <si>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</si>
  <si>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</si>
  <si>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</si>
  <si>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</si>
  <si>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</si>
  <si>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</si>
  <si>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</si>
  <si>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</si>
  <si>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</si>
  <si>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</si>
  <si>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</si>
  <si>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</si>
  <si>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</si>
  <si>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</si>
  <si>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</si>
  <si>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</si>
  <si>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</si>
  <si>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</si>
  <si>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</si>
  <si>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</si>
  <si>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</si>
  <si>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</si>
  <si>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</si>
  <si>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</si>
  <si>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</si>
  <si>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</si>
  <si>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</si>
  <si>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</si>
  <si>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</si>
  <si>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</si>
  <si>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</si>
  <si>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</si>
  <si>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</si>
  <si>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</si>
  <si>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</si>
  <si>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</si>
  <si>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</si>
  <si>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</si>
  <si>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</si>
  <si>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</si>
  <si>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</si>
  <si>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</si>
  <si>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</si>
  <si>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</si>
  <si>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</si>
  <si>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</si>
  <si>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</si>
  <si>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</si>
  <si>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</si>
  <si>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</si>
  <si>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</si>
  <si>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</si>
  <si>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</si>
  <si>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</si>
  <si>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</si>
  <si>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</si>
  <si>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</si>
  <si>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</si>
  <si>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</si>
  <si>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</si>
  <si>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</si>
  <si>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</si>
  <si>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</si>
  <si>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</si>
  <si>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</si>
  <si>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</si>
  <si>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</si>
  <si>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</si>
  <si>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</si>
  <si>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</si>
  <si>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</si>
  <si>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</si>
  <si>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</si>
  <si>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</si>
  <si>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</si>
  <si>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</si>
  <si>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</si>
  <si>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</si>
  <si>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</si>
  <si>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</si>
  <si>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</si>
  <si>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</si>
  <si>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</si>
  <si>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</si>
  <si>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</si>
  <si>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</si>
  <si>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</si>
  <si>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</si>
  <si>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</si>
  <si>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</si>
  <si>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</si>
  <si>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</si>
  <si>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</si>
  <si>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</si>
  <si>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</si>
  <si>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</si>
  <si>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</si>
  <si>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</si>
  <si>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</si>
  <si>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</si>
  <si>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</si>
  <si>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</si>
  <si>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</si>
  <si>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</si>
  <si>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</si>
  <si>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</si>
  <si>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</si>
  <si>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</si>
  <si>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</si>
  <si>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</si>
  <si>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</si>
  <si>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</si>
  <si>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</si>
  <si>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</si>
  <si>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</si>
  <si>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</si>
  <si>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</si>
  <si>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</si>
  <si>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</si>
  <si>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</si>
  <si>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</si>
  <si>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</si>
  <si>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</si>
  <si>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</si>
  <si>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</si>
  <si>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</si>
  <si>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</si>
  <si>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</si>
  <si>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</si>
  <si>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</si>
  <si>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</si>
  <si>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R verification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</si>
</sst>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45" zoomScaleNormal="100" workbookViewId="0">
      <selection activeCell="I75" sqref="I75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65.400000000000006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4058</v>
      </c>
      <c r="J10" s="400"/>
      <c r="K10" s="343" t="s">
        <v>2199</v>
      </c>
      <c r="L10" s="344" t="str">
        <f>IF(ISBLANK(I10),IF(ISBLANK(J10),K10,J10),I10)</f>
        <v>R verification base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7.4200000000000001E-5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7.4200000000000001E-5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2.3799999999999998E-8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R verification base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R verification base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R verification base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R verification base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0.4868562859008787</v>
      </c>
      <c r="AY8" s="75"/>
      <c r="AZ8" s="295">
        <f>output!AF12</f>
        <v>2.6746734614127919E-6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2.8388064417317349E-4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6.8779758783956174E-2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7301.3499566693345</v>
      </c>
      <c r="D11" s="117">
        <f>C11/$C$51</f>
        <v>3.6002187909087559E-4</v>
      </c>
      <c r="E11" s="517">
        <f>M.aC*Molweight</f>
        <v>945.04049700607982</v>
      </c>
      <c r="F11" s="117">
        <f>E11/$E$51</f>
        <v>2.5026858916633822E-3</v>
      </c>
      <c r="G11" s="517">
        <f>M.aM*Molweight</f>
        <v>20.519095083501007</v>
      </c>
      <c r="H11" s="117">
        <f>G11/$G$51</f>
        <v>3.3146777565501114E-4</v>
      </c>
      <c r="I11" s="517">
        <f>M.aA*Molweight</f>
        <v>0.46321652303437316</v>
      </c>
      <c r="J11" s="117">
        <f>I11/$I$51</f>
        <v>1.3032074749478588E-5</v>
      </c>
      <c r="K11" s="517">
        <f>M.aT*Molweight</f>
        <v>0.17292365232879786</v>
      </c>
      <c r="L11" s="118">
        <f>K11/$K$51</f>
        <v>3.1610591706962527E-4</v>
      </c>
      <c r="M11" s="320">
        <f>C.aR*(Molweight*1000)</f>
        <v>3.1804460324386175E-8</v>
      </c>
      <c r="N11" s="320">
        <f>C.aC*(Molweight*1000)</f>
        <v>1.3126929846943497E-10</v>
      </c>
      <c r="O11" s="320">
        <f>C.aM*(Molweight*1000)</f>
        <v>2.6451956878187243E-13</v>
      </c>
      <c r="P11" s="320">
        <f>C.aA*(Molweight*1000)</f>
        <v>1.0899212306691132E-14</v>
      </c>
      <c r="Q11" s="321">
        <f>C.aT*(Molweight*1000)</f>
        <v>1.3562639398337085E-15</v>
      </c>
      <c r="R11" s="119" t="s">
        <v>1493</v>
      </c>
      <c r="S11" s="323">
        <f>F.aR</f>
        <v>2.7960949352192716E-7</v>
      </c>
      <c r="T11" s="323">
        <f>F.aC</f>
        <v>1.1540564337724158E-9</v>
      </c>
      <c r="U11" s="323">
        <f>F.aM</f>
        <v>2.325528617664585E-12</v>
      </c>
      <c r="V11" s="323">
        <f>F.aA</f>
        <v>8.8423944211892671E-14</v>
      </c>
      <c r="W11" s="324">
        <f>F.aT</f>
        <v>1.246750356909202E-14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3.6002187909087559E-4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7292.5303482438048</v>
      </c>
      <c r="D12" s="122">
        <f>C12/$C$51</f>
        <v>3.5958699348519326E-4</v>
      </c>
      <c r="E12" s="318">
        <f>FRgas.aC*E11</f>
        <v>943.89894274839787</v>
      </c>
      <c r="F12" s="122">
        <f>E12/$E$51</f>
        <v>2.4996627918657333E-3</v>
      </c>
      <c r="G12" s="318">
        <f>FRgas.aM*G11</f>
        <v>20.49430920349845</v>
      </c>
      <c r="H12" s="122">
        <f>G12/$G$51</f>
        <v>3.3106738175466287E-4</v>
      </c>
      <c r="I12" s="318">
        <f>FRgas.aA*I11</f>
        <v>0.46255350891277219</v>
      </c>
      <c r="J12" s="122">
        <f>I12/$I$51</f>
        <v>1.30134215945003E-5</v>
      </c>
      <c r="K12" s="318">
        <f>FRgas.aT*K11</f>
        <v>0.17271733416125273</v>
      </c>
      <c r="L12" s="123">
        <f>K12/$K$51</f>
        <v>3.1572876569280857E-4</v>
      </c>
      <c r="M12" s="320">
        <f>FRgas.aR*M11</f>
        <v>3.1766042375936768E-8</v>
      </c>
      <c r="N12" s="320">
        <f>FRgas.aC*N11</f>
        <v>1.3111073274971668E-10</v>
      </c>
      <c r="O12" s="320">
        <f>FRgas.aM*O11</f>
        <v>2.6420004444303215E-13</v>
      </c>
      <c r="P12" s="320">
        <f>FRgas.aA*P11</f>
        <v>1.0883611974418167E-14</v>
      </c>
      <c r="Q12" s="320">
        <f>FRgas.aT*Q11</f>
        <v>1.3546457581274722E-15</v>
      </c>
      <c r="R12" s="120" t="s">
        <v>1493</v>
      </c>
      <c r="S12" s="325">
        <f>S11*FRgas.aR</f>
        <v>2.7927174142682705E-7</v>
      </c>
      <c r="T12" s="325">
        <f>T11*FRgas.aC</f>
        <v>1.1526624003529468E-9</v>
      </c>
      <c r="U12" s="325">
        <f>U11*FRgas.aM</f>
        <v>2.3227195136068579E-12</v>
      </c>
      <c r="V12" s="325">
        <f>V11*FRgas.aA</f>
        <v>8.8297380670255382E-14</v>
      </c>
      <c r="W12" s="326">
        <f>W11*FRgas.aT</f>
        <v>1.2452628377320415E-14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2.8388064417317349E-4</v>
      </c>
      <c r="AE12" s="325">
        <f>k.aR.aC*M.aR*Molweight</f>
        <v>6.8779758783956174E-2</v>
      </c>
      <c r="AF12" s="325">
        <f>kesc.aR*M.aR*Molweight</f>
        <v>2.6746734614127919E-6</v>
      </c>
      <c r="AG12" s="326">
        <f>KDEG.aR*M.aR*Molweight</f>
        <v>0.4868562859008787</v>
      </c>
      <c r="AH12" s="325">
        <f>SUM(AH13:AH15)</f>
        <v>1.8248034251683214E-3</v>
      </c>
      <c r="AI12" s="325">
        <f>SUM(AI13:AI15)</f>
        <v>0.10575632841110427</v>
      </c>
      <c r="AJ12" s="325">
        <f>SUM(AJ18:AJ20)</f>
        <v>5.3001309906005573E-2</v>
      </c>
      <c r="AK12" s="325">
        <f>SUM(AK18:AK20)</f>
        <v>0.18732670379654673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27090.197227179189</v>
      </c>
      <c r="BS12" s="425"/>
      <c r="BT12" s="425">
        <f>engine!F45</f>
        <v>607637.40982099995</v>
      </c>
      <c r="BU12" s="425">
        <f>engine!G45</f>
        <v>20545.962212164734</v>
      </c>
      <c r="BV12" s="425">
        <f>engine!H45</f>
        <v>58200327.633545518</v>
      </c>
      <c r="BW12" s="425">
        <f>engine!I45</f>
        <v>982264.93358260626</v>
      </c>
      <c r="BX12" s="425">
        <f>engine!J45</f>
        <v>866974.08747089317</v>
      </c>
      <c r="BY12" s="425">
        <f>engine!K45</f>
        <v>14383817.998673541</v>
      </c>
      <c r="BZ12" s="425">
        <f>engine!L45</f>
        <v>138580.27226996658</v>
      </c>
      <c r="CA12" s="425">
        <f>engine!M45</f>
        <v>3506.3835596841786</v>
      </c>
      <c r="CB12" s="425">
        <f>engine!N45</f>
        <v>592.66256925224695</v>
      </c>
      <c r="CC12" s="425">
        <f>engine!O45</f>
        <v>226.42702956399003</v>
      </c>
      <c r="CD12" s="425">
        <f>engine!P45</f>
        <v>363238.59711576102</v>
      </c>
      <c r="CE12" s="425">
        <f>engine!Q45</f>
        <v>21687.485155985993</v>
      </c>
      <c r="CF12" s="425">
        <f>engine!R45</f>
        <v>868288.70019848004</v>
      </c>
      <c r="CG12" s="425">
        <f>engine!S45</f>
        <v>52868.729455525667</v>
      </c>
      <c r="CH12" s="425">
        <f>engine!T45</f>
        <v>82188.488881168742</v>
      </c>
      <c r="CI12" s="425">
        <f>engine!U45</f>
        <v>8450.7244378147079</v>
      </c>
      <c r="CJ12" s="425">
        <f>engine!V45</f>
        <v>76.13199422492211</v>
      </c>
      <c r="CK12" s="425">
        <f>engine!W45</f>
        <v>36384.770403949791</v>
      </c>
      <c r="CL12" s="611"/>
      <c r="CM12" s="425">
        <f>engine!Y45</f>
        <v>25957.425456067984</v>
      </c>
      <c r="CN12" s="425">
        <f>engine!Z45</f>
        <v>4378.2481636128759</v>
      </c>
      <c r="CO12" s="425">
        <f>engine!AA45</f>
        <v>1.7186721691687934</v>
      </c>
      <c r="CP12" s="425">
        <f>engine!AB45</f>
        <v>8039.1075483657069</v>
      </c>
      <c r="CQ12" s="425"/>
      <c r="CR12" s="425">
        <f>engine!AD45</f>
        <v>21943.577652452877</v>
      </c>
      <c r="CS12" s="425">
        <f>engine!AE45</f>
        <v>484.80105867151337</v>
      </c>
      <c r="CT12" s="425">
        <f>engine!AF45</f>
        <v>0.6415985913060176</v>
      </c>
      <c r="CU12" s="425">
        <f>engine!AG45</f>
        <v>42.143345340313225</v>
      </c>
      <c r="CV12" s="425"/>
      <c r="CW12" s="425">
        <f>engine!AI45</f>
        <v>191.01743120173327</v>
      </c>
      <c r="CX12" s="425">
        <f>engine!AJ45</f>
        <v>6.8545348064594487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8.8196084255299869</v>
      </c>
      <c r="D13" s="122">
        <f>C13/$C$51</f>
        <v>4.348856056823611E-7</v>
      </c>
      <c r="E13" s="318">
        <f>(1-FRgas.aC)*E11</f>
        <v>1.1415542576819593</v>
      </c>
      <c r="F13" s="122">
        <f>E13/$E$51</f>
        <v>3.0230997976486976E-6</v>
      </c>
      <c r="G13" s="318">
        <f>(1-FRgas.aM)*G11</f>
        <v>2.4785880002559126E-2</v>
      </c>
      <c r="H13" s="122">
        <f>G13/$G$51</f>
        <v>4.003939003482854E-7</v>
      </c>
      <c r="I13" s="318">
        <f>(1-FRgas.aA)*I11</f>
        <v>6.6301412160098749E-4</v>
      </c>
      <c r="J13" s="122">
        <f>I13/$I$51</f>
        <v>1.8653154978288171E-8</v>
      </c>
      <c r="K13" s="318">
        <f>(1-FRgas.aT)*K11</f>
        <v>2.063181675451224E-4</v>
      </c>
      <c r="L13" s="123">
        <f>K13/$K$51</f>
        <v>3.7715137681668294E-7</v>
      </c>
      <c r="M13" s="320">
        <f>(1-FRgas.aR)*M11</f>
        <v>3.8417948449405352E-11</v>
      </c>
      <c r="N13" s="320">
        <f>(1-FRgas.aC)*N11</f>
        <v>1.5856571971829831E-13</v>
      </c>
      <c r="O13" s="320">
        <f>(1-FRgas.aM)*O11</f>
        <v>3.195243388402642E-16</v>
      </c>
      <c r="P13" s="320">
        <f>(1-FRgas.aA)*P11</f>
        <v>1.560033227296441E-17</v>
      </c>
      <c r="Q13" s="320">
        <f>(1-FRgas.aT)*Q11</f>
        <v>1.6181817062362538E-18</v>
      </c>
      <c r="R13" s="120" t="s">
        <v>1493</v>
      </c>
      <c r="S13" s="325">
        <f>S11*(1-FRgas.aR)</f>
        <v>3.3775209510010945E-10</v>
      </c>
      <c r="T13" s="325">
        <f>T11*(1-FRgas.aC)</f>
        <v>1.3940334194690958E-12</v>
      </c>
      <c r="U13" s="325">
        <f>U11*(1-FRgas.aM)</f>
        <v>2.8091040577271362E-15</v>
      </c>
      <c r="V13" s="325">
        <f>V11*(1-FRgas.aA)</f>
        <v>1.2656354163729248E-16</v>
      </c>
      <c r="W13" s="326">
        <f>W11*(1-FRgas.aT)</f>
        <v>1.48751917716057E-17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1.2105680713269608E-5</v>
      </c>
      <c r="AF13" s="330"/>
      <c r="AG13" s="326">
        <f>KDEG.w0R*M.w0R*Molweight</f>
        <v>2.3237748106364498E-4</v>
      </c>
      <c r="AH13" s="325">
        <f>k.aR.w0R*M.aR*Molweight</f>
        <v>1.3271287080816177E-4</v>
      </c>
      <c r="AI13" s="325">
        <f>k.w0R.aR*M.w0R*Molweight</f>
        <v>9.7699191617368756E-5</v>
      </c>
      <c r="AJ13" s="325"/>
      <c r="AK13" s="325"/>
      <c r="AL13" s="325">
        <f>SUM(AL18:AL20)*AREAFRAC.w0R/(AREAFRAC.w0R+AREAFRAC.w1R)</f>
        <v>2.0946948258612164E-4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1.210568071326961E-5</v>
      </c>
      <c r="AE14" s="325">
        <f>(WATERflow.w1R.w0R+WATERflow.w1R.w2R)*C.w1R*Molweight</f>
        <v>1.1896980519558854E-2</v>
      </c>
      <c r="AF14" s="330"/>
      <c r="AG14" s="326">
        <f>KDEG.w1R*M.w1R*Molweight</f>
        <v>7.4555304647026888E-3</v>
      </c>
      <c r="AH14" s="325">
        <f>k.aR.w1R*M.aR*Molweight</f>
        <v>1.4598415788897796E-3</v>
      </c>
      <c r="AI14" s="325">
        <f>k.w1R.aR*M.w1R*Molweight</f>
        <v>0.10448506687568114</v>
      </c>
      <c r="AJ14" s="325"/>
      <c r="AK14" s="325"/>
      <c r="AL14" s="325">
        <f>SUM(AL18:AL20)*AREAFRAC.w1R/(AREAFRAC.w0R+AREAFRAC.w1R)</f>
        <v>2.304164308447338E-3</v>
      </c>
      <c r="AM14" s="325">
        <f>k.w1R.sd1R*M.w1R*Molweight</f>
        <v>0.75272147908398468</v>
      </c>
      <c r="AN14" s="326">
        <f>k.sd1R.w1R*M.sd1R*Molweight</f>
        <v>0.55568502553823107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5049.7982403924661</v>
      </c>
      <c r="D15" s="122">
        <f>C15/$C$51</f>
        <v>2.4900023452173074E-4</v>
      </c>
      <c r="E15" s="318">
        <f>M.w0C*Molweight</f>
        <v>159.73441566486559</v>
      </c>
      <c r="F15" s="122">
        <f>E15/$E$51</f>
        <v>4.2301369069793588E-4</v>
      </c>
      <c r="G15" s="318"/>
      <c r="H15" s="122"/>
      <c r="I15" s="318"/>
      <c r="J15" s="122"/>
      <c r="K15" s="318"/>
      <c r="L15" s="123"/>
      <c r="M15" s="320">
        <f>C.w0R*Molweight</f>
        <v>8.8372021532002735E-8</v>
      </c>
      <c r="N15" s="320">
        <f>C.w0C*Molweight</f>
        <v>1.8329517782212104E-10</v>
      </c>
      <c r="O15" s="320"/>
      <c r="P15" s="320"/>
      <c r="Q15" s="320"/>
      <c r="R15" s="120" t="s">
        <v>1489</v>
      </c>
      <c r="S15" s="325">
        <f>F.w0R</f>
        <v>9.9894640820688559E-6</v>
      </c>
      <c r="T15" s="325">
        <f>F.w0C</f>
        <v>2.0719460339689328E-8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1.1898605682926167E-2</v>
      </c>
      <c r="AE15" s="325">
        <f>k.w2R.w2C*M.w2R*Molweight</f>
        <v>7.5856344188346379E-3</v>
      </c>
      <c r="AF15" s="330"/>
      <c r="AG15" s="326">
        <f>KDEG.w2R*M.w2R*Molweight</f>
        <v>2.532486772207862E-4</v>
      </c>
      <c r="AH15" s="325">
        <f>k.aR.w2R*M.aR*Molweight</f>
        <v>2.3224897547038004E-4</v>
      </c>
      <c r="AI15" s="325">
        <f>k.w2R.aR*M.w2R*Molweight</f>
        <v>1.1735623438057644E-3</v>
      </c>
      <c r="AJ15" s="325"/>
      <c r="AK15" s="325"/>
      <c r="AL15" s="325"/>
      <c r="AM15" s="325">
        <f>k.w2R.sd2R*M.w2R*Molweight</f>
        <v>7.5970451047579907E-3</v>
      </c>
      <c r="AN15" s="326">
        <f>k.sd2R.w2R*M.sd2R*Molweight</f>
        <v>4.4786358862226273E-3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2674.5614663566512</v>
      </c>
      <c r="D16" s="122">
        <f>C16/$C$51</f>
        <v>1.3187980997708768E-4</v>
      </c>
      <c r="E16" s="318">
        <f>FRw.w0C*E15</f>
        <v>84.601303388913735</v>
      </c>
      <c r="F16" s="122">
        <f>E16/$E$51</f>
        <v>2.2404382571809061E-4</v>
      </c>
      <c r="G16" s="318"/>
      <c r="H16" s="122"/>
      <c r="I16" s="318"/>
      <c r="J16" s="122"/>
      <c r="K16" s="318"/>
      <c r="L16" s="123"/>
      <c r="M16" s="320">
        <f>M15*FRw.w0R</f>
        <v>4.6805118193230105E-8</v>
      </c>
      <c r="N16" s="320">
        <f>N15*FRw.w0C</f>
        <v>9.7079961660791926E-11</v>
      </c>
      <c r="O16" s="320"/>
      <c r="P16" s="320"/>
      <c r="Q16" s="320"/>
      <c r="R16" s="120" t="s">
        <v>1489</v>
      </c>
      <c r="S16" s="325">
        <f>S15*FRw.w0R</f>
        <v>5.2907927072703646E-6</v>
      </c>
      <c r="T16" s="325">
        <f>T15*FRw.w0C</f>
        <v>1.0973798870810158E-8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4.5417187445211275E-2</v>
      </c>
      <c r="AG16" s="326">
        <f>KDEG.sd1R*M.sd1R*Molweight</f>
        <v>0.1516192661005423</v>
      </c>
      <c r="AH16" s="325"/>
      <c r="AI16" s="325"/>
      <c r="AJ16" s="325"/>
      <c r="AK16" s="325"/>
      <c r="AL16" s="325"/>
      <c r="AM16" s="325">
        <f>k.w1R.sd1R*M.w1R*Molweight</f>
        <v>0.75272147908398468</v>
      </c>
      <c r="AN16" s="326">
        <f>k.sd1R.w1R*M.sd1R*Molweight</f>
        <v>0.55568502553823107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2375.236774035815</v>
      </c>
      <c r="D17" s="122">
        <f>C17/$C$51</f>
        <v>1.1712042454464304E-4</v>
      </c>
      <c r="E17" s="318">
        <f>(1-FRw.w0C)*E15</f>
        <v>75.133112275951859</v>
      </c>
      <c r="F17" s="122">
        <f>E17/$E$51</f>
        <v>1.9896986497984528E-4</v>
      </c>
      <c r="G17" s="318"/>
      <c r="H17" s="122"/>
      <c r="I17" s="318"/>
      <c r="J17" s="122"/>
      <c r="K17" s="318"/>
      <c r="L17" s="123"/>
      <c r="M17" s="320">
        <f>M16*Kp.susp1R</f>
        <v>6.598834536007175E-5</v>
      </c>
      <c r="N17" s="320">
        <f>N16*Kp.susp1C</f>
        <v>1.3686849397896505E-7</v>
      </c>
      <c r="O17" s="320"/>
      <c r="P17" s="320"/>
      <c r="Q17" s="320"/>
      <c r="R17" s="120" t="s">
        <v>1494</v>
      </c>
      <c r="S17" s="325">
        <f>S15*(1-FRw.w0R)</f>
        <v>4.6986713747984913E-6</v>
      </c>
      <c r="T17" s="325">
        <f>T15*(1-FRw.w0C)</f>
        <v>9.7456614688791704E-9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5.5948396155360881E-4</v>
      </c>
      <c r="AG17" s="326">
        <f>KDEG.sd2R*M.sd2R*Molweight</f>
        <v>2.5589252569817528E-3</v>
      </c>
      <c r="AH17" s="325"/>
      <c r="AI17" s="325"/>
      <c r="AJ17" s="325"/>
      <c r="AK17" s="325"/>
      <c r="AL17" s="325"/>
      <c r="AM17" s="325">
        <f>k.w2R.sd2R*M.w2R*Molweight</f>
        <v>7.5970451047579907E-3</v>
      </c>
      <c r="AN17" s="326">
        <f>k.sd2R.w2R*M.sd2R*Molweight</f>
        <v>4.4786358862226273E-3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1.9065621747462738E-6</v>
      </c>
      <c r="AG18" s="326">
        <f>KDEG.s1R*M.s1R*Molweight</f>
        <v>1.015411081222076E-2</v>
      </c>
      <c r="AH18" s="325"/>
      <c r="AI18" s="325"/>
      <c r="AJ18" s="325">
        <f>k.aR.s1R*M.aR*Molweight</f>
        <v>1.4752941932599493E-2</v>
      </c>
      <c r="AK18" s="325">
        <f>k.s1R.aR*M.s1R*Molweight</f>
        <v>4.3083162618127169E-3</v>
      </c>
      <c r="AL18" s="325">
        <f>(k.s1R.w1R+k.s1R.w0R)*M.s1R*Molweight</f>
        <v>2.8860829639126606E-4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163770.43469495588</v>
      </c>
      <c r="D19" s="122">
        <f>C19/$C$51</f>
        <v>8.0753477080701148E-3</v>
      </c>
      <c r="E19" s="318">
        <f>M.w1C*Molweight</f>
        <v>61.026613008086592</v>
      </c>
      <c r="F19" s="122">
        <f>E19/$E$51</f>
        <v>1.6161259107434501E-4</v>
      </c>
      <c r="G19" s="318"/>
      <c r="H19" s="122"/>
      <c r="I19" s="318"/>
      <c r="J19" s="122"/>
      <c r="K19" s="318"/>
      <c r="L19" s="123"/>
      <c r="M19" s="320">
        <f>C.w1R*Molweight</f>
        <v>8.6848500595908367E-6</v>
      </c>
      <c r="N19" s="320">
        <f>C.w1C*Molweight</f>
        <v>2.1220610277871056E-10</v>
      </c>
      <c r="O19" s="320"/>
      <c r="P19" s="320"/>
      <c r="Q19" s="320"/>
      <c r="R19" s="120" t="s">
        <v>1489</v>
      </c>
      <c r="S19" s="325">
        <f>F.w1R</f>
        <v>9.8172471585951382E-4</v>
      </c>
      <c r="T19" s="325">
        <f>F.w1C</f>
        <v>2.3987515561540877E-8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1.4393888356143258E-5</v>
      </c>
      <c r="AG19" s="326">
        <f>KDEG.s2R*M.s2R*Molweight</f>
        <v>0.16846510636484285</v>
      </c>
      <c r="AH19" s="325"/>
      <c r="AI19" s="325"/>
      <c r="AJ19" s="325">
        <f>k.aR.s2R*M.aR*Molweight</f>
        <v>3.2784315405776643E-2</v>
      </c>
      <c r="AK19" s="325">
        <f>k.s2R.aR*M.s2R*Molweight</f>
        <v>0.17922384126574306</v>
      </c>
      <c r="AL19" s="325">
        <f>(k.s2R.w1R+k.s2R.w0R)*M.s2R*Molweight</f>
        <v>2.1788937244805644E-3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85809.840096685337</v>
      </c>
      <c r="D20" s="122">
        <f>C20/$C$51</f>
        <v>4.2311928697345864E-3</v>
      </c>
      <c r="E20" s="318">
        <f>FRw.w1C*E19</f>
        <v>31.975758711395162</v>
      </c>
      <c r="F20" s="122">
        <f>E20/$E$51</f>
        <v>8.4679207352239349E-5</v>
      </c>
      <c r="G20" s="318"/>
      <c r="H20" s="122"/>
      <c r="I20" s="318"/>
      <c r="J20" s="122"/>
      <c r="K20" s="318"/>
      <c r="L20" s="123"/>
      <c r="M20" s="320">
        <f>M19*FRw.w1R</f>
        <v>4.5505502642482231E-6</v>
      </c>
      <c r="N20" s="320">
        <f>N19*FRw.w1C</f>
        <v>1.1118839478504953E-10</v>
      </c>
      <c r="O20" s="320"/>
      <c r="P20" s="320"/>
      <c r="Q20" s="320"/>
      <c r="R20" s="120" t="s">
        <v>1489</v>
      </c>
      <c r="S20" s="325">
        <f>S19*FRw.w1R</f>
        <v>5.1438857717987947E-4</v>
      </c>
      <c r="T20" s="325">
        <f>T19*FRw.w1C</f>
        <v>1.2568598712499914E-8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3.0474893837974757E-7</v>
      </c>
      <c r="AG20" s="326">
        <f>KDEG.s3R*M.s3R*Molweight</f>
        <v>1.623069779538488E-3</v>
      </c>
      <c r="AH20" s="325"/>
      <c r="AI20" s="325"/>
      <c r="AJ20" s="325">
        <f>k.aR.s3R*M.aR*Molweight</f>
        <v>5.4640525676294405E-3</v>
      </c>
      <c r="AK20" s="325">
        <f>k.s3R.aR*M.s3R*Molweight</f>
        <v>3.7945462689909439E-3</v>
      </c>
      <c r="AL20" s="325">
        <f>(k.s3R.w1R+k.s3R.w0R)*M.s3R*Molweight</f>
        <v>4.613177016162883E-5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4.3083162618127169E-3</v>
      </c>
      <c r="BE20" s="2"/>
      <c r="BF20" s="296">
        <f>IF(output!AK20&lt;0,"",output!AK20)</f>
        <v>3.7945462689909439E-3</v>
      </c>
      <c r="BG20" s="75"/>
      <c r="BH20" s="296">
        <f>IF(output!AK19&lt;0,"",output!AK19)</f>
        <v>0.17922384126574306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77960.594598270545</v>
      </c>
      <c r="D21" s="122">
        <f>C21/$C$51</f>
        <v>3.8441548383355293E-3</v>
      </c>
      <c r="E21" s="318">
        <f>(1-FRw.w1C)*E19</f>
        <v>29.05085429669143</v>
      </c>
      <c r="F21" s="122">
        <f>E21/$E$51</f>
        <v>7.6933383722105662E-5</v>
      </c>
      <c r="G21" s="318"/>
      <c r="H21" s="122"/>
      <c r="I21" s="318"/>
      <c r="J21" s="122"/>
      <c r="K21" s="318"/>
      <c r="L21" s="123"/>
      <c r="M21" s="320">
        <f>M20*Kp.susp1R</f>
        <v>6.4156078225438701E-3</v>
      </c>
      <c r="N21" s="320">
        <f>N20*Kp.susp1C</f>
        <v>1.5675931347544579E-7</v>
      </c>
      <c r="O21" s="320"/>
      <c r="P21" s="320"/>
      <c r="Q21" s="320"/>
      <c r="R21" s="120" t="s">
        <v>1494</v>
      </c>
      <c r="S21" s="325">
        <f>S19*(1-FRw.w1R)</f>
        <v>4.6733613867963429E-4</v>
      </c>
      <c r="T21" s="325">
        <f>T19*(1-FRw.w1C)</f>
        <v>1.1418916849040962E-8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1.1735623438057644E-3</v>
      </c>
      <c r="AV21" s="75"/>
      <c r="AW21" s="75"/>
      <c r="AX21" s="288">
        <f>IF(output!AI14&lt;0,"",output!AI14)</f>
        <v>0.10448506687568114</v>
      </c>
      <c r="AY21" s="75"/>
      <c r="AZ21" s="75"/>
      <c r="BA21" s="296">
        <f>IF(output!AI13&lt;0,"",output!AI13)</f>
        <v>9.7699191617368756E-5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6.8782390177842809E-2</v>
      </c>
      <c r="AE22" s="325">
        <f>(k.aC.aM+k.aC.aR)*M.aC*Molweight</f>
        <v>1.5897244087173584E-3</v>
      </c>
      <c r="AF22" s="325">
        <f>kesc.aC*M.aC*Molweight</f>
        <v>3.4619279342906186E-7</v>
      </c>
      <c r="AG22" s="326">
        <f>KDEG.aC*M.aC*Molweight</f>
        <v>6.3015594257063157E-2</v>
      </c>
      <c r="AH22" s="325">
        <f>SUM(AH23:AH25)</f>
        <v>3.5422764386716654E-3</v>
      </c>
      <c r="AI22" s="325">
        <f>SUM(AI23:AI25)</f>
        <v>1.0794142955507916E-3</v>
      </c>
      <c r="AJ22" s="325">
        <f>SUM(AJ28:AJ30)</f>
        <v>3.2320595905966543E-3</v>
      </c>
      <c r="AK22" s="325">
        <f>SUM(AK28:AK30)</f>
        <v>1.5181964144487037E-3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1.4752941932599493E-2</v>
      </c>
      <c r="BE22" s="2"/>
      <c r="BF22" s="296">
        <f>IF(output!AJ20&lt;0,"",output!AJ20)</f>
        <v>5.4640525676294405E-3</v>
      </c>
      <c r="BG22" s="75"/>
      <c r="BH22" s="296">
        <f>IF(output!AJ19&lt;0,"",output!AJ19)</f>
        <v>3.2784315405776643E-2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15686152.303793186</v>
      </c>
      <c r="D23" s="122">
        <f>C23/$C$51</f>
        <v>0.7734676548353604</v>
      </c>
      <c r="E23" s="318">
        <f>M.sd1C*Molweight</f>
        <v>5845.2109992413443</v>
      </c>
      <c r="F23" s="122">
        <f>E23/$E$51</f>
        <v>1.5479471142179867E-2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6.3988200699303499E-2</v>
      </c>
      <c r="N23" s="320">
        <f>C.sd1C*(Molweight*1000)/(FRACw.sdC*1000+FRACs.sdC*RHOsolid)</f>
        <v>1.5634912060716541E-6</v>
      </c>
      <c r="O23" s="320"/>
      <c r="P23" s="320"/>
      <c r="Q23" s="320"/>
      <c r="R23" s="120" t="s">
        <v>1495</v>
      </c>
      <c r="S23" s="325">
        <f>F.sd1R</f>
        <v>9.6257122048658314E-2</v>
      </c>
      <c r="T23" s="325">
        <f>F.sd1C</f>
        <v>2.3519518004900138E-6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3.8292496905960932E-7</v>
      </c>
      <c r="AF23" s="330"/>
      <c r="AG23" s="326">
        <f>KDEG.w0C*M.w0C*Molweight</f>
        <v>7.3505275625605723E-6</v>
      </c>
      <c r="AH23" s="325">
        <f>k.aC.w0C*M.aC*Molweight</f>
        <v>8.0852912296381086E-6</v>
      </c>
      <c r="AI23" s="325">
        <f>k.w0C.aC*M.w0C*Molweight</f>
        <v>3.0904053075033853E-6</v>
      </c>
      <c r="AJ23" s="325"/>
      <c r="AK23" s="325"/>
      <c r="AL23" s="325">
        <f>SUM(AL28:AL30)*AREAFRAC.w0C/(AREAFRAC.w1C+AREAFRAC.w0C)</f>
        <v>2.7385666094854615E-6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2.3224897547038004E-4</v>
      </c>
      <c r="AV23" s="75"/>
      <c r="AW23" s="75"/>
      <c r="AX23" s="288">
        <f>IF(output!AH14&lt;0,"",output!AH14)</f>
        <v>1.4598415788897796E-3</v>
      </c>
      <c r="AY23" s="291">
        <f>output!AL14</f>
        <v>2.304164308447338E-3</v>
      </c>
      <c r="AZ23" s="87"/>
      <c r="BA23" s="296">
        <f>IF(output!AH13&lt;0,"",output!AH13)</f>
        <v>1.3271287080816177E-4</v>
      </c>
      <c r="BB23" s="291">
        <f>output!AL13</f>
        <v>2.0946948258612164E-4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12548921.843034551</v>
      </c>
      <c r="D24" s="122">
        <f>C24/$C$51</f>
        <v>0.61877412386828834</v>
      </c>
      <c r="E24" s="318">
        <f>E23*FRACw.sdC</f>
        <v>4676.1687993930755</v>
      </c>
      <c r="F24" s="122">
        <f>E24/$E$51</f>
        <v>1.2383576913743893E-2</v>
      </c>
      <c r="G24" s="318"/>
      <c r="H24" s="122"/>
      <c r="I24" s="318"/>
      <c r="J24" s="122"/>
      <c r="K24" s="318"/>
      <c r="L24" s="123"/>
      <c r="M24" s="320">
        <f>M25/Kp.sd1R</f>
        <v>8.5154082265151236E-4</v>
      </c>
      <c r="N24" s="320">
        <f>N25/Kp.sd1C</f>
        <v>2.0806595173430987E-8</v>
      </c>
      <c r="O24" s="320"/>
      <c r="P24" s="320"/>
      <c r="Q24" s="320"/>
      <c r="R24" s="120" t="s">
        <v>1489</v>
      </c>
      <c r="S24" s="325">
        <f>S23*FRACw.sdR</f>
        <v>7.700569763892666E-2</v>
      </c>
      <c r="T24" s="325">
        <f>T23*FRACw.sdC</f>
        <v>1.8815614403920111E-6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3.8292496905960932E-7</v>
      </c>
      <c r="AE24" s="325">
        <f>(k.w1C.w0C+k.w1C.w1R+k.w1C.w2C)*M.w1C*Molweight</f>
        <v>4.4332325763450208E-6</v>
      </c>
      <c r="AF24" s="330"/>
      <c r="AG24" s="326">
        <f>KDEG.w1C*M.w1C*Molweight</f>
        <v>2.7781923720657037E-6</v>
      </c>
      <c r="AH24" s="325">
        <f>k.aC.w1C*M.aC*Molweight</f>
        <v>8.893820352601918E-5</v>
      </c>
      <c r="AI24" s="325">
        <f>k.w1C.aC*M.w1C*Molweight</f>
        <v>3.8934803789359612E-5</v>
      </c>
      <c r="AJ24" s="518"/>
      <c r="AK24" s="518"/>
      <c r="AL24" s="325">
        <f>SUM(AL28:AL30)*AREAFRAC.w1C/(AREAFRAC.w1C+AREAFRAC.w0C)</f>
        <v>3.0124232704340072E-5</v>
      </c>
      <c r="AM24" s="325">
        <f>k.w1C.sd1C*M.w1C*Molweight</f>
        <v>2.8049044684099931E-4</v>
      </c>
      <c r="AN24" s="326">
        <f>k.sd1C.w1C*M.sd1C*Molweight</f>
        <v>2.0719131437935075E-4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1.2105680713269608E-5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3137230.4607586367</v>
      </c>
      <c r="D25" s="122">
        <f>C25/$C$51</f>
        <v>0.15469353096707206</v>
      </c>
      <c r="E25" s="318">
        <f>E23*FRACs.sdC</f>
        <v>1169.0421998482686</v>
      </c>
      <c r="F25" s="122">
        <f>E25/$E$51</f>
        <v>3.0958942284359729E-3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0.16500685650194671</v>
      </c>
      <c r="N25" s="320">
        <f>C.sd1C*FRACs.sdC/(FRACw.sdC/(Kp.sd1C*RHOsolid/1000)+FRACs.sdC)*(Molweight*1000)/(FRACs.sdC*RHOsolid)</f>
        <v>4.0317865835088121E-6</v>
      </c>
      <c r="O25" s="320"/>
      <c r="P25" s="320"/>
      <c r="Q25" s="320"/>
      <c r="R25" s="120" t="s">
        <v>1494</v>
      </c>
      <c r="S25" s="325">
        <f>S23*(1-FRACw.sdR)</f>
        <v>1.9251424409731658E-2</v>
      </c>
      <c r="T25" s="325">
        <f>T23*(1-FRACw.sdC)</f>
        <v>4.7039036009800267E-7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7.6495768135176213E-3</v>
      </c>
      <c r="AE25" s="325">
        <f>(k.w2C.w2M+k.w2C.w2R)*M.w2C*Molweight</f>
        <v>3.1042101763762318E-3</v>
      </c>
      <c r="AF25" s="330"/>
      <c r="AG25" s="326">
        <f>KDEG.w2C*M.w2C*Molweight</f>
        <v>4.4772638674783439E-3</v>
      </c>
      <c r="AH25" s="325">
        <f>k.aC.w2C*M.aC*Molweight</f>
        <v>3.4452529439160081E-3</v>
      </c>
      <c r="AI25" s="325">
        <f>k.w2C.aC*M.w2C*Molweight</f>
        <v>1.0373890864539285E-3</v>
      </c>
      <c r="AJ25" s="325"/>
      <c r="AK25" s="325"/>
      <c r="AL25" s="325"/>
      <c r="AM25" s="325">
        <f>k.w2C.sd2C*M.w2C*Molweight</f>
        <v>6.715528768089527E-3</v>
      </c>
      <c r="AN25" s="326">
        <f>k.sd2C.w2C*M.sd2C*Molweight</f>
        <v>4.2395621409644048E-3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1.1896980519558854E-2</v>
      </c>
      <c r="AT25" s="75"/>
      <c r="AU25" s="75"/>
      <c r="AV25" s="87"/>
      <c r="AW25" s="75"/>
      <c r="AX25" s="289">
        <f>output!AD14</f>
        <v>1.210568071326961E-5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1.6800471429683382E-5</v>
      </c>
      <c r="AG26" s="326">
        <f>KDEG.sd1C*M.sd1C*Molweight</f>
        <v>5.6498661031965128E-5</v>
      </c>
      <c r="AH26" s="325"/>
      <c r="AI26" s="325"/>
      <c r="AJ26" s="325"/>
      <c r="AK26" s="325"/>
      <c r="AL26" s="325"/>
      <c r="AM26" s="325">
        <f>k.w1C.sd1C*M.w1C*Molweight</f>
        <v>2.8049044684099931E-4</v>
      </c>
      <c r="AN26" s="326">
        <f>k.sd1C.w1C*M.sd1C*Molweight</f>
        <v>2.0719131437935075E-4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7.5856344188346379E-3</v>
      </c>
      <c r="AT26" s="75"/>
      <c r="AU26" s="285">
        <f>output!AD15</f>
        <v>1.1898605682926167E-2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5537.5477354226387</v>
      </c>
      <c r="D27" s="122">
        <f>C27/$C$51</f>
        <v>2.7305064859152727E-4</v>
      </c>
      <c r="E27" s="318">
        <f>M.w2C*Molweight</f>
        <v>97900.0666946399</v>
      </c>
      <c r="F27" s="122">
        <f>E27/$E$51</f>
        <v>0.25926202790863379</v>
      </c>
      <c r="G27" s="318">
        <f>M.w2M*Molweight</f>
        <v>9806.4233192725478</v>
      </c>
      <c r="H27" s="122">
        <f>G27/$G$51</f>
        <v>0.15841406804456865</v>
      </c>
      <c r="I27" s="318">
        <f>M.w2A*Molweight</f>
        <v>2166.700266435525</v>
      </c>
      <c r="J27" s="122">
        <f>I27/$I$51</f>
        <v>6.0957669745747879E-2</v>
      </c>
      <c r="K27" s="318">
        <f>M.w2T*Molweight</f>
        <v>11.35847443612122</v>
      </c>
      <c r="L27" s="123">
        <f>K27/$K$51</f>
        <v>2.0763388523132944E-2</v>
      </c>
      <c r="M27" s="320">
        <f>C.w2R*Molweight</f>
        <v>5.5375477354226324E-7</v>
      </c>
      <c r="N27" s="320">
        <f>C.w2C*Molweight</f>
        <v>1.3181963033255137E-10</v>
      </c>
      <c r="O27" s="320">
        <f>C.w2M*Molweight</f>
        <v>2.5283677054474475E-12</v>
      </c>
      <c r="P27" s="320">
        <f>C.w2A*Molweight</f>
        <v>8.4968637899432362E-13</v>
      </c>
      <c r="Q27" s="320">
        <f>C.w2T*Molweight</f>
        <v>1.2726582001256269E-15</v>
      </c>
      <c r="R27" s="120" t="s">
        <v>1489</v>
      </c>
      <c r="S27" s="325">
        <f>F.w2R</f>
        <v>6.2595755134687913E-5</v>
      </c>
      <c r="T27" s="325">
        <f>F.w2C</f>
        <v>1.4900728077627511E-8</v>
      </c>
      <c r="U27" s="325">
        <f>F.w2M</f>
        <v>2.858035602442752E-10</v>
      </c>
      <c r="V27" s="325">
        <f>F.w2A</f>
        <v>7.4344596873682602E-12</v>
      </c>
      <c r="W27" s="326">
        <f>F.w2T</f>
        <v>5.4633231287468069E-13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2.1396397455573601E-4</v>
      </c>
      <c r="AG27" s="326">
        <f>KDEG.sd2C*M.sd2C*Molweight</f>
        <v>2.2620026525693869E-3</v>
      </c>
      <c r="AH27" s="325"/>
      <c r="AI27" s="325"/>
      <c r="AJ27" s="325"/>
      <c r="AK27" s="325"/>
      <c r="AL27" s="325"/>
      <c r="AM27" s="325">
        <f>k.w2C.sd2C*M.w2C*Molweight</f>
        <v>6.715528768089527E-3</v>
      </c>
      <c r="AN27" s="326">
        <f>k.sd2C.w2C*M.sd2C*Molweight</f>
        <v>4.2395621409644048E-3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2.3237748106364498E-4</v>
      </c>
      <c r="BB27" s="264">
        <f>IF(ISERROR(output!D15),0,output!D15)</f>
        <v>2.4900023452173074E-4</v>
      </c>
      <c r="BC27" s="86"/>
      <c r="BD27" s="295">
        <f>output!AG18</f>
        <v>1.015411081222076E-2</v>
      </c>
      <c r="BE27" s="75"/>
      <c r="BF27" s="295">
        <f>output!AG19</f>
        <v>0.16846510636484285</v>
      </c>
      <c r="BG27" s="75"/>
      <c r="BH27" s="256">
        <f>output!AG20</f>
        <v>1.623069779538488E-3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2914.7796524870546</v>
      </c>
      <c r="D28" s="122">
        <f>C28/$C$51</f>
        <v>1.4372471581994102E-4</v>
      </c>
      <c r="E28" s="318">
        <f>FRw.w2C*E27</f>
        <v>51531.316028805813</v>
      </c>
      <c r="F28" s="122">
        <f>E28/$E$51</f>
        <v>0.13646684773055784</v>
      </c>
      <c r="G28" s="318">
        <f>FRw.w2M*G27</f>
        <v>5161.7727774781197</v>
      </c>
      <c r="H28" s="122">
        <f>G28/$G$51</f>
        <v>8.3383859474534569E-2</v>
      </c>
      <c r="I28" s="318">
        <f>FRw.w2A*I27</f>
        <v>1140.4784484738238</v>
      </c>
      <c r="J28" s="122">
        <f>I28/$I$51</f>
        <v>3.2086075628993349E-2</v>
      </c>
      <c r="K28" s="318">
        <f>FRw.w2T*K27</f>
        <v>5.9787205007585662</v>
      </c>
      <c r="L28" s="123">
        <f>K28/$K$51</f>
        <v>1.0929152266583947E-2</v>
      </c>
      <c r="M28" s="320">
        <f>M27*FRw.w2R</f>
        <v>2.9147796524870512E-7</v>
      </c>
      <c r="N28" s="320">
        <f>N27*FRw.w2C</f>
        <v>6.9385438220942238E-11</v>
      </c>
      <c r="O28" s="320">
        <f>O27*FRw.w2M</f>
        <v>1.3308480746272312E-12</v>
      </c>
      <c r="P28" s="320">
        <f>P27*FRw.w2A</f>
        <v>4.4724645038189179E-13</v>
      </c>
      <c r="Q28" s="320">
        <f>Q27*FRw.w2T</f>
        <v>6.6988464994493741E-16</v>
      </c>
      <c r="R28" s="120" t="s">
        <v>1489</v>
      </c>
      <c r="S28" s="325">
        <f>S27*FRw.w2R</f>
        <v>3.294830891145811E-5</v>
      </c>
      <c r="T28" s="325">
        <f>T27*FRw.w2C</f>
        <v>7.8432441728823043E-9</v>
      </c>
      <c r="U28" s="325">
        <f>U27*FRw.w2M</f>
        <v>1.5043742136604637E-10</v>
      </c>
      <c r="V28" s="325">
        <f>V27*FRw.w2A</f>
        <v>3.9132505685429337E-12</v>
      </c>
      <c r="W28" s="326">
        <f>W27*FRw.w2T</f>
        <v>2.8757103056228045E-13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1.1626358995439233E-7</v>
      </c>
      <c r="AG28" s="326">
        <f>KDEG.s1C*M.s1C*Molweight</f>
        <v>6.1920528554522739E-4</v>
      </c>
      <c r="AH28" s="325"/>
      <c r="AI28" s="325"/>
      <c r="AJ28" s="325">
        <f>k.aC.s1C*M.aC*Molweight</f>
        <v>8.99645453052677E-4</v>
      </c>
      <c r="AK28" s="325">
        <f>k.s1C.aC*M.s1C*Molweight</f>
        <v>2.6272435375672664E-4</v>
      </c>
      <c r="AL28" s="325">
        <f>(k.s1C.w1C+k.s1C.w0C)*M.s1C*Molweight</f>
        <v>1.7599550160767958E-5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2622.7680829355841</v>
      </c>
      <c r="D29" s="122">
        <f>C29/$C$51</f>
        <v>1.2932593277158625E-4</v>
      </c>
      <c r="E29" s="318">
        <f>(1-FRw.w2C)*E27</f>
        <v>46368.750665834086</v>
      </c>
      <c r="F29" s="122">
        <f>E29/$E$51</f>
        <v>0.12279518017807595</v>
      </c>
      <c r="G29" s="318">
        <f>(1-FRw.w2M)*G27</f>
        <v>4644.6505417944281</v>
      </c>
      <c r="H29" s="122">
        <f>G29/$G$51</f>
        <v>7.5030208570034077E-2</v>
      </c>
      <c r="I29" s="318">
        <f>(1-FRw.w2A)*I27</f>
        <v>1026.2218179617012</v>
      </c>
      <c r="J29" s="122">
        <f>I29/$I$51</f>
        <v>2.887159411675453E-2</v>
      </c>
      <c r="K29" s="318">
        <f>(1-FRw.w2T)*K27</f>
        <v>5.379753935362654</v>
      </c>
      <c r="L29" s="123">
        <f>K29/$K$51</f>
        <v>9.834236256548997E-3</v>
      </c>
      <c r="M29" s="320">
        <f>M28*Kp.susp2R</f>
        <v>7.2503899366489375E-4</v>
      </c>
      <c r="N29" s="320">
        <f>N28*Kp.susp2C</f>
        <v>1.7259331510628865E-7</v>
      </c>
      <c r="O29" s="320">
        <f>O28*Kp.susp2M</f>
        <v>3.3104277639830124E-9</v>
      </c>
      <c r="P29" s="320">
        <f>P28*Kp.susp2A</f>
        <v>1.1125064497702138E-9</v>
      </c>
      <c r="Q29" s="320">
        <f>Q28*Kp.susp2T</f>
        <v>1.6663094654623974E-12</v>
      </c>
      <c r="R29" s="120" t="s">
        <v>1494</v>
      </c>
      <c r="S29" s="325">
        <f>S27*(1-FRw.w2R)</f>
        <v>2.9647446223229803E-5</v>
      </c>
      <c r="T29" s="325">
        <f>T27*(1-FRw.w2C)</f>
        <v>7.0574839047452063E-9</v>
      </c>
      <c r="U29" s="325">
        <f>U27*(1-FRw.w2M)</f>
        <v>1.3536613887822882E-10</v>
      </c>
      <c r="V29" s="325">
        <f>V27*(1-FRw.w2A)</f>
        <v>3.5212091188253269E-12</v>
      </c>
      <c r="W29" s="326">
        <f>W27*(1-FRw.w2T)</f>
        <v>2.5876128231240024E-13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8.2246030450660608E-8</v>
      </c>
      <c r="AG29" s="326">
        <f>KDEG.s2C*M.s2C*Molweight</f>
        <v>9.6260203811037142E-4</v>
      </c>
      <c r="AH29" s="325"/>
      <c r="AI29" s="325"/>
      <c r="AJ29" s="325">
        <f>k.aC.s2C*M.aC*Molweight</f>
        <v>1.9992121178948378E-3</v>
      </c>
      <c r="AK29" s="325">
        <f>k.s2C.aC*M.s2C*Molweight</f>
        <v>1.0240777330461066E-3</v>
      </c>
      <c r="AL29" s="325">
        <f>(k.s2C.w1C+k.s2C.w0C)*M.s2C*Molweight</f>
        <v>1.2450100707908964E-5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1.8583808927340063E-8</v>
      </c>
      <c r="AG30" s="326">
        <f>KDEG.s3C*M.s3C*Molweight</f>
        <v>9.897595974919309E-5</v>
      </c>
      <c r="AH30" s="325"/>
      <c r="AI30" s="325"/>
      <c r="AJ30" s="325">
        <f>k.aC.s3C*M.aC*Molweight</f>
        <v>3.3320201964913957E-4</v>
      </c>
      <c r="AK30" s="325">
        <f>k.s3C.aC*M.s3C*Molweight</f>
        <v>2.3139432764587056E-4</v>
      </c>
      <c r="AL30" s="325">
        <f>(k.s3C.w1C+k.s3C.w0C)*M.s3C*Molweight</f>
        <v>2.8131484451486137E-6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8.0753477080701148E-3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43900.727075959396</v>
      </c>
      <c r="H31" s="122">
        <f>G31/$G$51</f>
        <v>0.70917729530902629</v>
      </c>
      <c r="I31" s="318">
        <f>M.w3A*Molweight</f>
        <v>27332.28197654719</v>
      </c>
      <c r="J31" s="122">
        <f>I31/$I$51</f>
        <v>0.76896294514467833</v>
      </c>
      <c r="K31" s="318">
        <f>M.w3T*Molweight</f>
        <v>482.18153917738732</v>
      </c>
      <c r="L31" s="123">
        <f>K31/$K$51</f>
        <v>0.88143198216689589</v>
      </c>
      <c r="M31" s="320"/>
      <c r="N31" s="320"/>
      <c r="O31" s="320">
        <f>C.w3M*Molweight</f>
        <v>3.7729413661069654E-13</v>
      </c>
      <c r="P31" s="320">
        <f>C.w3A*Molweight</f>
        <v>3.5728473171957108E-13</v>
      </c>
      <c r="Q31" s="320">
        <f>C.w3T*Molweight</f>
        <v>1.8008647588324458E-15</v>
      </c>
      <c r="R31" s="120" t="s">
        <v>1489</v>
      </c>
      <c r="S31" s="325"/>
      <c r="T31" s="325"/>
      <c r="U31" s="325">
        <f>F.w3M</f>
        <v>4.2648862849457987E-11</v>
      </c>
      <c r="V31" s="325">
        <f>F.w3A</f>
        <v>3.1261168832966315E-12</v>
      </c>
      <c r="W31" s="326">
        <f>F.w3T</f>
        <v>7.7308314893214393E-13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7.4555304647026888E-3</v>
      </c>
      <c r="AY31" s="75"/>
      <c r="AZ31" s="75"/>
      <c r="BA31" s="87"/>
      <c r="BB31" s="2"/>
      <c r="BC31" s="86"/>
      <c r="BD31" s="277">
        <f>IF(ISERROR(output!D39),0,output!D39)</f>
        <v>1.1521866654452154E-2</v>
      </c>
      <c r="BE31" s="75"/>
      <c r="BF31" s="277">
        <f>IF(ISERROR(output!D43),0,output!D43)</f>
        <v>0.19115730834133998</v>
      </c>
      <c r="BG31" s="75"/>
      <c r="BH31" s="273">
        <f>IF(ISERROR(output!D47),0,output!D47)</f>
        <v>1.8416968178254054E-3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23107.872315366629</v>
      </c>
      <c r="H32" s="122">
        <f>G32/$G$51</f>
        <v>0.37328717496189445</v>
      </c>
      <c r="I32" s="318">
        <f>FRw.w3A*I31</f>
        <v>14386.797760976409</v>
      </c>
      <c r="J32" s="122">
        <f>I32/$I$51</f>
        <v>0.40475633856602083</v>
      </c>
      <c r="K32" s="318">
        <f>FRw.w3T*K31</f>
        <v>253.8042119634876</v>
      </c>
      <c r="L32" s="123">
        <f>K32/$K$51</f>
        <v>0.46395627260002564</v>
      </c>
      <c r="M32" s="320"/>
      <c r="N32" s="320"/>
      <c r="O32" s="320">
        <f>O31*FRw.w3M</f>
        <v>1.9859499636649099E-13</v>
      </c>
      <c r="P32" s="320">
        <f>P31*FRw.w3A</f>
        <v>1.8806271582975697E-13</v>
      </c>
      <c r="Q32" s="320">
        <f>Q31*FRw.w3T</f>
        <v>9.4791489061993498E-16</v>
      </c>
      <c r="R32" s="120" t="s">
        <v>1489</v>
      </c>
      <c r="S32" s="325"/>
      <c r="T32" s="325"/>
      <c r="U32" s="325">
        <f>U31*FRw.w3M</f>
        <v>2.2448932916661064E-11</v>
      </c>
      <c r="V32" s="325">
        <f>V31*FRw.w3A</f>
        <v>1.6454832207480419E-12</v>
      </c>
      <c r="W32" s="326">
        <f>W31*FRw.w3T</f>
        <v>4.0692507583703024E-13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1.3062335904213298E-3</v>
      </c>
      <c r="AE32" s="325">
        <f>(k.aM.aA+k.aM.aC+k.aM.aT)*M.aM*Molweight</f>
        <v>2.3895938828765669E-5</v>
      </c>
      <c r="AF32" s="325">
        <f>kesc.aM*M.aM*Molweight</f>
        <v>7.5166756007790862E-9</v>
      </c>
      <c r="AG32" s="326">
        <f>KDEG.aM*M.aM*Molweight</f>
        <v>1.3682196418040699E-3</v>
      </c>
      <c r="AH32" s="325">
        <f>AH33</f>
        <v>6.9190516184217975E-5</v>
      </c>
      <c r="AI32" s="325">
        <f>AI33</f>
        <v>2.0782573234176627E-4</v>
      </c>
      <c r="AJ32" s="325">
        <f>AJ36</f>
        <v>7.4502850613121293E-5</v>
      </c>
      <c r="AK32" s="325">
        <f>AK36</f>
        <v>2.1757141342679746E-5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0.55568502553823107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20792.854760592767</v>
      </c>
      <c r="H33" s="122">
        <f>G33/$G$51</f>
        <v>0.33589012034713178</v>
      </c>
      <c r="I33" s="318">
        <f>(1-FRw.w3A)*I31</f>
        <v>12945.484215570781</v>
      </c>
      <c r="J33" s="122">
        <f>I33/$I$51</f>
        <v>0.3642066065786575</v>
      </c>
      <c r="K33" s="318">
        <f>(1-FRw.w3T)*K31</f>
        <v>228.37732721389972</v>
      </c>
      <c r="L33" s="123">
        <f>K33/$K$51</f>
        <v>0.41747570956687019</v>
      </c>
      <c r="M33" s="320"/>
      <c r="N33" s="320"/>
      <c r="O33" s="320">
        <f>O32*Kp.susp3M</f>
        <v>4.9399657428507296E-10</v>
      </c>
      <c r="P33" s="320">
        <f>P32*Kp.susp3A</f>
        <v>4.6779797613431986E-10</v>
      </c>
      <c r="Q33" s="320">
        <f>Q32*Kp.susp3T</f>
        <v>2.3578978184118455E-12</v>
      </c>
      <c r="R33" s="120" t="s">
        <v>1494</v>
      </c>
      <c r="S33" s="325"/>
      <c r="T33" s="325"/>
      <c r="U33" s="325">
        <f>U31*(1-FRw.w3M)</f>
        <v>2.0199929932796923E-11</v>
      </c>
      <c r="V33" s="325">
        <f>V31*(1-FRw.w3A)</f>
        <v>1.4806336625485896E-12</v>
      </c>
      <c r="W33" s="326">
        <f>W31*(1-FRw.w3T)</f>
        <v>3.6615807309511369E-13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3.4673156486443981E-3</v>
      </c>
      <c r="AE33" s="325">
        <f>(k.w2M.w2C+k.w2M.w2A+k.w2M.w2T+k.w2M.w3M)*M.w2M*Molweight</f>
        <v>2.8816607446315603E-3</v>
      </c>
      <c r="AF33" s="330"/>
      <c r="AG33" s="326">
        <f>KDEG.w2M*M.w2M*Molweight</f>
        <v>4.484771694132043E-4</v>
      </c>
      <c r="AH33" s="325">
        <f>k.aM.w2M*M.aM*Molweight</f>
        <v>6.9190516184217975E-5</v>
      </c>
      <c r="AI33" s="325">
        <f>k.w2M.aM*M.w2M*Molweight</f>
        <v>2.0782573234176627E-4</v>
      </c>
      <c r="AJ33" s="325"/>
      <c r="AK33" s="325"/>
      <c r="AL33" s="325">
        <f>AL36</f>
        <v>1.4574815579144095E-6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2.532486772207862E-4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2.4964891364657399E-3</v>
      </c>
      <c r="AE34" s="325">
        <f>(k.w3M.w2M+k.w3M.w3A+k.w3M.w3T)*M.w3M*Molweight</f>
        <v>4.2113385739706559E-4</v>
      </c>
      <c r="AF34" s="330"/>
      <c r="AG34" s="326">
        <f>KDEG.w3M*M.w3M*Molweight</f>
        <v>2.00771200397949E-3</v>
      </c>
      <c r="AH34" s="325"/>
      <c r="AI34" s="325"/>
      <c r="AJ34" s="325"/>
      <c r="AK34" s="325"/>
      <c r="AL34" s="325"/>
      <c r="AM34" s="325">
        <f>k.w3M.sdM*M.w3M*Molweight</f>
        <v>2.0076022797016374E-4</v>
      </c>
      <c r="AN34" s="326">
        <f>k.sdM.w3M*M.sdM*Molweight</f>
        <v>1.3311695288097876E-4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0.75272147908398468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264740.04489918402</v>
      </c>
      <c r="D35" s="122">
        <f>C35/$C$51</f>
        <v>1.305405288074778E-2</v>
      </c>
      <c r="E35" s="318">
        <f>M.sd2C*Molweight</f>
        <v>234021.17047749434</v>
      </c>
      <c r="F35" s="122">
        <f>E35/$E$51</f>
        <v>0.61974220529176782</v>
      </c>
      <c r="G35" s="318">
        <f>M.sdM*Molweight</f>
        <v>6996.0453089194425</v>
      </c>
      <c r="H35" s="122">
        <f>G35/$G$51</f>
        <v>0.11301490477491062</v>
      </c>
      <c r="I35" s="318">
        <f>M.sdA*Molweight</f>
        <v>5914.2330488890993</v>
      </c>
      <c r="J35" s="122">
        <f>I35/$I$51</f>
        <v>0.16639028045474111</v>
      </c>
      <c r="K35" s="318">
        <f>M.sdT*Molweight</f>
        <v>51.483018057491151</v>
      </c>
      <c r="L35" s="123">
        <f>K35/$K$51</f>
        <v>9.411139781868412E-2</v>
      </c>
      <c r="M35" s="320">
        <f>C.sd2R*(Molweight*1000)/(FRACw.sdR*1000+FRACs.sdR*RHOsolid)</f>
        <v>6.7882062794662511E-3</v>
      </c>
      <c r="N35" s="320">
        <f>C.sd2C*(Molweight*1000)/(FRACw.sdC*1000+FRACs.sdC*RHOsolid)</f>
        <v>1.6159117449342421E-6</v>
      </c>
      <c r="O35" s="320">
        <f>C.sdM*(Molweight*1000)/(FRACw.sdM*1000+FRACs.sdM*RHOsolid)</f>
        <v>4.6250624820140827E-9</v>
      </c>
      <c r="P35" s="320">
        <f>C.sdA*(Molweight*1000)/(FRACw.sdA*1000+FRACs.sdA*RHOsolid)</f>
        <v>5.9469412256300644E-9</v>
      </c>
      <c r="Q35" s="320">
        <f>C.sdT*(Molweight*1000)/(FRACw.sdT*1000+FRACs.sdT*RHOsolid)</f>
        <v>1.4790783037417552E-11</v>
      </c>
      <c r="R35" s="120" t="s">
        <v>1495</v>
      </c>
      <c r="S35" s="325">
        <f>F.sd2R</f>
        <v>1.0211463882296098E-2</v>
      </c>
      <c r="T35" s="325">
        <f>F.sd2C</f>
        <v>2.4308077481804992E-6</v>
      </c>
      <c r="U35" s="325">
        <f>F.sdM</f>
        <v>6.9574577648461055E-9</v>
      </c>
      <c r="V35" s="325">
        <f>F.sdA</f>
        <v>6.9245248057298171E-10</v>
      </c>
      <c r="W35" s="326">
        <f>F.sdT</f>
        <v>8.4497108680867746E-11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2.0875739664173966E-8</v>
      </c>
      <c r="AG35" s="326">
        <f>KDEG.sdM*M.sdM*Molweight</f>
        <v>6.7622399349520748E-5</v>
      </c>
      <c r="AH35" s="325"/>
      <c r="AI35" s="325"/>
      <c r="AJ35" s="325"/>
      <c r="AK35" s="325"/>
      <c r="AL35" s="325"/>
      <c r="AM35" s="325">
        <f>k.w3M.sdM*M.w3M*Molweight</f>
        <v>2.0076022797016374E-4</v>
      </c>
      <c r="AN35" s="326">
        <f>k.sdM.w3M*M.sdM*Molweight</f>
        <v>1.3311695288097876E-4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0.1516192661005423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211792.03591934722</v>
      </c>
      <c r="D36" s="122">
        <f>C36/$C$51</f>
        <v>1.0443242304598225E-2</v>
      </c>
      <c r="E36" s="318">
        <f>E35*FRACw.sdC</f>
        <v>187216.93638199547</v>
      </c>
      <c r="F36" s="122">
        <f>E36/$E$51</f>
        <v>0.49579376423341431</v>
      </c>
      <c r="G36" s="318">
        <f>G35*FRACw.sdM</f>
        <v>5596.836247135554</v>
      </c>
      <c r="H36" s="122">
        <f>G36/$G$51</f>
        <v>9.0411923819928491E-2</v>
      </c>
      <c r="I36" s="318">
        <f>I35*FRACw.sdA</f>
        <v>4731.3864391112793</v>
      </c>
      <c r="J36" s="122">
        <f>I36/$I$51</f>
        <v>0.13311222436379289</v>
      </c>
      <c r="K36" s="318">
        <f>K35*FRACw.sdT</f>
        <v>41.186414445992924</v>
      </c>
      <c r="L36" s="123">
        <f>K36/$K$51</f>
        <v>7.5289118254947301E-2</v>
      </c>
      <c r="M36" s="320">
        <f>M37/Kp.sd2R</f>
        <v>9.0335947821201551E-5</v>
      </c>
      <c r="N36" s="320">
        <f>N37/Kp.sd2C</f>
        <v>2.1504196110776449E-8</v>
      </c>
      <c r="O36" s="320">
        <f>O37/Kp.sdM</f>
        <v>6.1549308586696782E-11</v>
      </c>
      <c r="P36" s="320">
        <f>P37/Kp.sdA</f>
        <v>7.9140578547137358E-11</v>
      </c>
      <c r="Q36" s="320">
        <f>Q37/Kp.sdT</f>
        <v>1.9683246938805813E-13</v>
      </c>
      <c r="R36" s="120" t="s">
        <v>1489</v>
      </c>
      <c r="S36" s="325">
        <f>S35*FRACw.sdR</f>
        <v>8.1691711058368786E-3</v>
      </c>
      <c r="T36" s="325">
        <f>T35*FRACw.sdC</f>
        <v>1.9446461985443996E-6</v>
      </c>
      <c r="U36" s="325">
        <f>U35*FRACw.sdM</f>
        <v>5.565966211876885E-9</v>
      </c>
      <c r="V36" s="325">
        <f>V35*FRACw.sdA</f>
        <v>5.5396198445838537E-10</v>
      </c>
      <c r="W36" s="326">
        <f>W35*FRACw.sdT</f>
        <v>6.7597686944694194E-11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9.6282028044775803E-9</v>
      </c>
      <c r="AG36" s="326">
        <f>KDEG.sM*M.sM*Molweight</f>
        <v>5.127859950972266E-5</v>
      </c>
      <c r="AH36" s="325"/>
      <c r="AI36" s="325"/>
      <c r="AJ36" s="325">
        <f>k.aM.sM*M.aM*Molweight</f>
        <v>7.4502850613121293E-5</v>
      </c>
      <c r="AK36" s="325">
        <f>k.sM.aM*M.sM*Molweight</f>
        <v>2.1757141342679746E-5</v>
      </c>
      <c r="AL36" s="325">
        <f>k.sM.w2M*M.sM*Molweight</f>
        <v>1.4574815579144095E-6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52948.008979836792</v>
      </c>
      <c r="D37" s="122">
        <f>C37/$C$51</f>
        <v>2.6108105761495554E-3</v>
      </c>
      <c r="E37" s="318">
        <f>E35*FRACs.sdC</f>
        <v>46804.234095498854</v>
      </c>
      <c r="F37" s="122">
        <f>E37/$E$51</f>
        <v>0.12394844105835354</v>
      </c>
      <c r="G37" s="318">
        <f>G35*FRACs.sdM</f>
        <v>1399.2090617838883</v>
      </c>
      <c r="H37" s="122">
        <f>G37/$G$51</f>
        <v>2.2602980954982119E-2</v>
      </c>
      <c r="I37" s="318">
        <f>I35*FRACs.sdA</f>
        <v>1182.8466097778196</v>
      </c>
      <c r="J37" s="122">
        <f>I37/$I$51</f>
        <v>3.3278056090948215E-2</v>
      </c>
      <c r="K37" s="318">
        <f>K35*FRACs.sdT</f>
        <v>10.296603611498227</v>
      </c>
      <c r="L37" s="123">
        <f>K37/$K$51</f>
        <v>1.8822279563736818E-2</v>
      </c>
      <c r="M37" s="320">
        <f>C.sd2R*FRACs.sdR/(FRACw.sdR/(Kp.sd2R*RHOsolid/1000)+FRACs.sdR)*(Molweight*1000)/(FRACs.sdR*RHOsolid)</f>
        <v>1.7504798810098334E-2</v>
      </c>
      <c r="N37" s="320">
        <f>C.sd2C*FRACs.sdC/(FRACw.sdC/(Kp.sd2C*RHOsolid/1000)+FRACs.sdC)*(Molweight*1000)/(FRACs.sdC*RHOsolid)</f>
        <v>4.1669638230517874E-6</v>
      </c>
      <c r="O37" s="320">
        <f>C.sdM*FRACs.sdM/(FRACw.sdM/(Kp.sdM*RHOsolid/1000)+FRACs.sdM)*(Molweight*1000)/(FRACs.sdM*RHOsolid)</f>
        <v>1.1926683559497904E-8</v>
      </c>
      <c r="P37" s="320">
        <f>C.sdA*FRACs.sdA/(FRACw.sdA/(Kp.sdA*RHOsolid/1000)+FRACs.sdA)*(Molweight*1000)/(FRACs.sdA*RHOsolid)</f>
        <v>1.5335422260962751E-8</v>
      </c>
      <c r="Q37" s="320">
        <f>C.sdT*FRACs.sdT/(FRACw.sdT/(Kp.sdT*RHOsolid/1000)+FRACs.sdT)*(Molweight*1000)/(FRACs.sdT*RHOsolid)</f>
        <v>3.8141103946264746E-11</v>
      </c>
      <c r="R37" s="120" t="s">
        <v>1494</v>
      </c>
      <c r="S37" s="325">
        <f>S35*(1-FRACw.sdR)</f>
        <v>2.0422927764592192E-3</v>
      </c>
      <c r="T37" s="325">
        <f>T35*(1-FRACw.sdC)</f>
        <v>4.8616154963609968E-7</v>
      </c>
      <c r="U37" s="325">
        <f>U35*(1-FRACw.sdM)</f>
        <v>1.3914915529692208E-9</v>
      </c>
      <c r="V37" s="325">
        <f>V35*(1-FRACw.sdA)</f>
        <v>1.3849049611459632E-10</v>
      </c>
      <c r="W37" s="326">
        <f>W35*(1-FRACw.sdT)</f>
        <v>1.6899421736173545E-11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2.7305064859152727E-4</v>
      </c>
      <c r="AW37" s="75"/>
      <c r="AX37" s="75"/>
      <c r="AY37" s="300">
        <f>IF(ISERROR(output!D23),0,output!D23)</f>
        <v>0.7734676548353604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7.7833636487402146E-6</v>
      </c>
      <c r="AE38" s="325">
        <f>k.aA.aM*M.aA*Molweight</f>
        <v>3.2070418554839009E-7</v>
      </c>
      <c r="AF38" s="325">
        <f>kesc.aA*M.aA*Molweight</f>
        <v>1.696882012779346E-10</v>
      </c>
      <c r="AG38" s="326">
        <f>KDEG.aA*M.aA*Molweight</f>
        <v>2.5824928218022524E-5</v>
      </c>
      <c r="AH38" s="325">
        <f>AH39</f>
        <v>2.5794563375867634E-6</v>
      </c>
      <c r="AI38" s="325">
        <f>AI39</f>
        <v>2.2237702056010841E-5</v>
      </c>
      <c r="AJ38" s="325">
        <f>AJ42</f>
        <v>1.5209891789539199E-6</v>
      </c>
      <c r="AK38" s="325">
        <f>AK42</f>
        <v>2.2518190356181578E-7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233666.85605515511</v>
      </c>
      <c r="D39" s="122">
        <f>C39/$C$51</f>
        <v>1.1521866654452154E-2</v>
      </c>
      <c r="E39" s="318">
        <f>M.s1C*Molweight</f>
        <v>14249.179962853277</v>
      </c>
      <c r="F39" s="122">
        <f>E39/$E$51</f>
        <v>3.7735125398098181E-2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4.454461370846763E-5</v>
      </c>
      <c r="N39" s="320">
        <f>C.s1C*(Molweight*1000)/(FRACw.s1C*1000+(1-FRACa.s1C-FRACw.s1C)*RHOsolid)</f>
        <v>1.7811468719552536E-7</v>
      </c>
      <c r="O39" s="320"/>
      <c r="P39" s="320"/>
      <c r="Q39" s="320"/>
      <c r="R39" s="120" t="s">
        <v>1495</v>
      </c>
      <c r="S39" s="325">
        <f>F.s1R</f>
        <v>7.3498290967226828E-5</v>
      </c>
      <c r="T39" s="325">
        <f>F.s1C</f>
        <v>2.9388794772609688E-7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6.2457262691446923E-4</v>
      </c>
      <c r="AE39" s="325">
        <f>(k.w2A.w2M+k.w2A.w3A)*M.w2A*Molweight</f>
        <v>5.8340840012261765E-4</v>
      </c>
      <c r="AF39" s="330"/>
      <c r="AG39" s="326">
        <f>KDEG.w2A*M.w2A*Molweight</f>
        <v>2.1565649818033175E-5</v>
      </c>
      <c r="AH39" s="325">
        <f>k.aA.w2A*M.aA*Molweight</f>
        <v>2.5794563375867634E-6</v>
      </c>
      <c r="AI39" s="325">
        <f>k.w2A.aA*M.w2A*Molweight</f>
        <v>2.2237702056010841E-5</v>
      </c>
      <c r="AJ39" s="325"/>
      <c r="AK39" s="325"/>
      <c r="AL39" s="325">
        <f>AL42</f>
        <v>5.9668744605761966E-8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401.26643465241017</v>
      </c>
      <c r="D40" s="122">
        <f>C40/$C$51</f>
        <v>1.978602541680626E-5</v>
      </c>
      <c r="E40" s="318">
        <f>E39*FRw.s1C</f>
        <v>24.469527843799455</v>
      </c>
      <c r="F40" s="122">
        <f>E40/$E$51</f>
        <v>6.4800971285728105E-5</v>
      </c>
      <c r="G40" s="318"/>
      <c r="H40" s="122"/>
      <c r="I40" s="318"/>
      <c r="J40" s="122"/>
      <c r="K40" s="318"/>
      <c r="L40" s="123"/>
      <c r="M40" s="320">
        <f>M41/Kp.s1R</f>
        <v>6.5020430511183078E-7</v>
      </c>
      <c r="N40" s="320">
        <f>N41/Kp.s1C</f>
        <v>2.5998864234434424E-9</v>
      </c>
      <c r="O40" s="320"/>
      <c r="P40" s="320"/>
      <c r="Q40" s="320"/>
      <c r="R40" s="120" t="s">
        <v>1489</v>
      </c>
      <c r="S40" s="325">
        <f>S39*FRACw.s1R</f>
        <v>1.4699658193445367E-5</v>
      </c>
      <c r="T40" s="325">
        <f>T39*FRACw.s1C</f>
        <v>5.8777589545219375E-8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5.8340840012261765E-4</v>
      </c>
      <c r="AE40" s="325">
        <f>(k.w3A.w2A+k.w3A.w3M)*M.w3A*Molweight</f>
        <v>2.9891018085528766E-4</v>
      </c>
      <c r="AF40" s="330"/>
      <c r="AG40" s="326">
        <f>KDEG.w3A*M.w3A*Molweight</f>
        <v>2.7204428363488016E-4</v>
      </c>
      <c r="AH40" s="325"/>
      <c r="AI40" s="325"/>
      <c r="AJ40" s="325"/>
      <c r="AK40" s="325"/>
      <c r="AL40" s="325"/>
      <c r="AM40" s="325">
        <f>k.w3A.sdA*M.w3A*Molweight</f>
        <v>1.2499189708321009E-4</v>
      </c>
      <c r="AN40" s="326">
        <f>k.sdA.w3A*M.sdA*Molweight</f>
        <v>1.1253796145076031E-4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4.4786358862226273E-3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233265.55077736333</v>
      </c>
      <c r="D41" s="122">
        <f>C41/$C$51</f>
        <v>1.1502078713721041E-2</v>
      </c>
      <c r="E41" s="318">
        <f>E39*FRs.s1C</f>
        <v>14224.708066325735</v>
      </c>
      <c r="F41" s="122">
        <f>E41/$E$51</f>
        <v>3.7670318153989857E-2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5.0397193236826333E-5</v>
      </c>
      <c r="N41" s="320">
        <f>C.s1C*FRs.s1C*(Molweight*1000)/(FRACs.s1C*RHOsolid)</f>
        <v>2.0151662707546162E-7</v>
      </c>
      <c r="O41" s="320"/>
      <c r="P41" s="320"/>
      <c r="Q41" s="320"/>
      <c r="R41" s="120" t="s">
        <v>1494</v>
      </c>
      <c r="S41" s="325">
        <f>S39*(1-FRACw.s1R)</f>
        <v>5.8798632773781467E-5</v>
      </c>
      <c r="T41" s="325">
        <f>T39*(1-FRACw.s1C)</f>
        <v>2.351103581808775E-7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1.2502606648251809E-8</v>
      </c>
      <c r="AG41" s="326">
        <f>KDEG.sdA*M.sdA*Molweight</f>
        <v>1.2441433025801539E-5</v>
      </c>
      <c r="AH41" s="325"/>
      <c r="AI41" s="325"/>
      <c r="AJ41" s="325"/>
      <c r="AK41" s="325"/>
      <c r="AL41" s="325"/>
      <c r="AM41" s="325">
        <f>k.w3A.sdA*M.w3A*Molweight</f>
        <v>1.2499189708321009E-4</v>
      </c>
      <c r="AN41" s="326">
        <f>k.sdA.w3A*M.sdA*Molweight</f>
        <v>1.1253796145076031E-4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3.8075923855635617E-10</v>
      </c>
      <c r="AG42" s="326">
        <f>KDEG.sA*M.sA*Molweight</f>
        <v>1.2357577715477861E-6</v>
      </c>
      <c r="AH42" s="325"/>
      <c r="AI42" s="325"/>
      <c r="AJ42" s="325">
        <f>k.aA.sA*M.aA*Molweight</f>
        <v>1.5209891789539199E-6</v>
      </c>
      <c r="AK42" s="325">
        <f>k.sA.aA*M.sA*Molweight</f>
        <v>2.2518190356181578E-7</v>
      </c>
      <c r="AL42" s="325">
        <f>k.sA.w2A*M.sA*Molweight</f>
        <v>5.9668744605761966E-8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7.5970451047579907E-3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3876726.6270024925</v>
      </c>
      <c r="D43" s="122">
        <f>C43/$C$51</f>
        <v>0.19115730834133998</v>
      </c>
      <c r="E43" s="318">
        <f>M.s2C*Molweight</f>
        <v>22151.441523252597</v>
      </c>
      <c r="F43" s="122">
        <f>E43/$E$51</f>
        <v>5.8662142369433332E-2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8.3141102931579122E-5</v>
      </c>
      <c r="N43" s="320">
        <f>C.s2C*(Molweight*1000)/(FRACw.s2C*1000+(1-FRACa.s2C-FRACw.s2C)*RHOsolid)</f>
        <v>3.1150453739415148E-8</v>
      </c>
      <c r="O43" s="320"/>
      <c r="P43" s="320"/>
      <c r="Q43" s="320"/>
      <c r="R43" s="120" t="s">
        <v>1495</v>
      </c>
      <c r="S43" s="325">
        <f>F.s2R</f>
        <v>1.3718093572202353E-4</v>
      </c>
      <c r="T43" s="325">
        <f>F.s2C</f>
        <v>5.1397542749165127E-8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1.305405288074778E-2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6657.2801148083045</v>
      </c>
      <c r="D44" s="122">
        <f>C44/$C$51</f>
        <v>3.282634733017155E-4</v>
      </c>
      <c r="E44" s="318">
        <f>E43*FRw.s2C</f>
        <v>38.039399048653543</v>
      </c>
      <c r="F44" s="122">
        <f>E44/$E$51</f>
        <v>1.0073712991984748E-4</v>
      </c>
      <c r="G44" s="318"/>
      <c r="H44" s="122"/>
      <c r="I44" s="318"/>
      <c r="J44" s="122"/>
      <c r="K44" s="318"/>
      <c r="L44" s="123"/>
      <c r="M44" s="320">
        <f>M45/Kp.s2R</f>
        <v>1.2135742724344667E-6</v>
      </c>
      <c r="N44" s="320">
        <f>N45/Kp.s2C</f>
        <v>4.5468953261210044E-10</v>
      </c>
      <c r="O44" s="320"/>
      <c r="P44" s="320"/>
      <c r="Q44" s="320"/>
      <c r="R44" s="120" t="s">
        <v>1489</v>
      </c>
      <c r="S44" s="325">
        <f>S43*FRACw.s2R</f>
        <v>2.7436187144404709E-5</v>
      </c>
      <c r="T44" s="325">
        <f>T43*FRACw.s2C</f>
        <v>1.0279508549833027E-8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1.348118129340273E-5</v>
      </c>
      <c r="AE44" s="325">
        <f>k.aT.aM*M.aT*Molweight</f>
        <v>6.9121691596587426E-8</v>
      </c>
      <c r="AF44" s="325">
        <f>kesc.aT*M.aT*Molweight</f>
        <v>6.3346409428290658E-11</v>
      </c>
      <c r="AG44" s="326">
        <f>KDEG.aT*M.aT*Molweight</f>
        <v>1.2815626194764951E-5</v>
      </c>
      <c r="AH44" s="325">
        <f>AH45</f>
        <v>6.5348642584529617E-7</v>
      </c>
      <c r="AI44" s="325">
        <f>AI45</f>
        <v>2.5901919334023761E-7</v>
      </c>
      <c r="AJ44" s="325">
        <f>AJ48</f>
        <v>3.1652804150103733E-7</v>
      </c>
      <c r="AK44" s="325">
        <f>AK48</f>
        <v>1.146252133743401E-7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2.5589252569817528E-3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3870032.4237314574</v>
      </c>
      <c r="D45" s="122">
        <f>C45/$C$51</f>
        <v>0.19082722422607951</v>
      </c>
      <c r="E45" s="318">
        <f>E43*FRs.s2C</f>
        <v>22113.191146950525</v>
      </c>
      <c r="F45" s="122">
        <f>E45/$E$51</f>
        <v>5.8560846522932274E-2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9.4063875976031116E-5</v>
      </c>
      <c r="N45" s="320">
        <f>C.s2C*FRs.s2C*(Molweight*1000)/(FRACs.s2C*RHOsolid)</f>
        <v>3.5242886055442274E-8</v>
      </c>
      <c r="O45" s="320"/>
      <c r="P45" s="320"/>
      <c r="Q45" s="320"/>
      <c r="R45" s="120" t="s">
        <v>1494</v>
      </c>
      <c r="S45" s="325">
        <f>S43*(1-FRACw.s2R)</f>
        <v>1.0974474857761884E-4</v>
      </c>
      <c r="T45" s="325">
        <f>T43*(1-FRACw.s2C)</f>
        <v>4.1118034199332107E-8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3.6524356844855521E-6</v>
      </c>
      <c r="AE45" s="325">
        <f>(k.w2T.w2M+k.w2T.w3T)*M.w2T*Molweight</f>
        <v>2.7720488144403014E-6</v>
      </c>
      <c r="AF45" s="330"/>
      <c r="AG45" s="326">
        <f>KDEG.w2T*M.w2T*Molweight</f>
        <v>1.2790534748323286E-6</v>
      </c>
      <c r="AH45" s="325">
        <f>k.aT.w2T*M.aT*Molweight</f>
        <v>6.5348642584529617E-7</v>
      </c>
      <c r="AI45" s="325">
        <f>k.w2T.aT*M.w2T*Molweight</f>
        <v>2.5901919334023761E-7</v>
      </c>
      <c r="AJ45" s="325"/>
      <c r="AK45" s="325"/>
      <c r="AL45" s="325">
        <f>AL48</f>
        <v>4.1993722820200453E-9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5.9175270576025949E-5</v>
      </c>
      <c r="AE46" s="325">
        <f>(k.w3T.w2T+k.w3T.w3M)*M.w3T*Molweight</f>
        <v>3.6524356844855521E-6</v>
      </c>
      <c r="AF46" s="330"/>
      <c r="AG46" s="326">
        <f>KDEG.w3T*M.w3T*Molweight</f>
        <v>5.4297430227385854E-5</v>
      </c>
      <c r="AH46" s="325"/>
      <c r="AI46" s="325"/>
      <c r="AJ46" s="325"/>
      <c r="AK46" s="325"/>
      <c r="AL46" s="325"/>
      <c r="AM46" s="325">
        <f>k.w3T.sdT*M.w3T*Molweight</f>
        <v>2.2050403757724374E-6</v>
      </c>
      <c r="AN46" s="326">
        <f>k.sdT.w3T*M.sdT*Molweight</f>
        <v>9.7963571161792722E-7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37350.154982201391</v>
      </c>
      <c r="D47" s="122">
        <f>C47/$C$51</f>
        <v>1.8416968178254054E-3</v>
      </c>
      <c r="E47" s="318">
        <f>M.s3C*Molweight</f>
        <v>2277.63925047982</v>
      </c>
      <c r="F47" s="122">
        <f>E47/$E$51</f>
        <v>6.0317157164513913E-3</v>
      </c>
      <c r="G47" s="318">
        <f>M.sM*Molweight</f>
        <v>1180.0254450569423</v>
      </c>
      <c r="H47" s="122">
        <f>G47/$G$51</f>
        <v>1.9062264095839557E-2</v>
      </c>
      <c r="I47" s="318">
        <f>M.sA*Molweight</f>
        <v>130.66358133314628</v>
      </c>
      <c r="J47" s="122">
        <f>I47/$I$51</f>
        <v>3.6760725800832005E-3</v>
      </c>
      <c r="K47" s="318">
        <f>M.sT*Molweight</f>
        <v>1.8474342210369505</v>
      </c>
      <c r="L47" s="123">
        <f>K47/$K$51</f>
        <v>3.3771255742175879E-3</v>
      </c>
      <c r="M47" s="320">
        <f>C.s3R*(Molweight*1000)/(FRACw.s3R*1000+(1-FRACa.s3R-FRACw.s3R)*RHOsolid)</f>
        <v>1.9224464629036997E-5</v>
      </c>
      <c r="N47" s="320">
        <f>C.s3C*(Molweight*1000)/(FRACw.s3C*1000+(1-FRACa.s3C-FRACw.s3C)*RHOsolid)</f>
        <v>7.6870297799089683E-8</v>
      </c>
      <c r="O47" s="320">
        <f>C.sM*(Molweight*1000)/(FRACw.sM*1000+(1-FRACa.sM-FRACw.sM)*RHOsolid)</f>
        <v>3.5793325033311481E-10</v>
      </c>
      <c r="P47" s="320">
        <f>C.sA*(Molweight*1000)/(FRACw.sA*1000+(1-FRACa.sA-FRACw.sA)*RHOsolid)</f>
        <v>9.0424623759962801E-11</v>
      </c>
      <c r="Q47" s="320">
        <f>C.sT*(Molweight*1000)/(FRACw.sT*1000+(1-FRACa.sT-FRACw.sT)*RHOsolid)</f>
        <v>5.6822275156845818E-13</v>
      </c>
      <c r="R47" s="120" t="s">
        <v>1495</v>
      </c>
      <c r="S47" s="325">
        <f>F.s3R</f>
        <v>3.1719930979705002E-5</v>
      </c>
      <c r="T47" s="325">
        <f>F.s3C</f>
        <v>1.2683424936024527E-7</v>
      </c>
      <c r="U47" s="325">
        <f>F.sM</f>
        <v>5.9058727845309937E-10</v>
      </c>
      <c r="V47" s="325">
        <f>F.sA</f>
        <v>1.1548675400399547E-11</v>
      </c>
      <c r="W47" s="326">
        <f>F.sT</f>
        <v>3.560558945489045E-12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1.0883438621996321E-10</v>
      </c>
      <c r="AG47" s="326">
        <f>KDEG.sdT*M.sdT*Molweight</f>
        <v>1.2252958297682893E-6</v>
      </c>
      <c r="AH47" s="325"/>
      <c r="AI47" s="325"/>
      <c r="AJ47" s="325"/>
      <c r="AK47" s="325"/>
      <c r="AL47" s="325"/>
      <c r="AM47" s="325">
        <f>k.w3T.sdT*M.w3T*Molweight</f>
        <v>2.2050403757724374E-6</v>
      </c>
      <c r="AN47" s="326">
        <f>k.sdT.w3T*M.sdT*Molweight</f>
        <v>9.7963571161792722E-7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5.5948396155360881E-4</v>
      </c>
      <c r="AW47" s="75"/>
      <c r="AX47" s="290">
        <f>output!AF16</f>
        <v>4.5417187445211275E-2</v>
      </c>
      <c r="AY47" s="75"/>
      <c r="AZ47" s="75"/>
      <c r="BA47" s="75"/>
      <c r="BB47" s="75"/>
      <c r="BC47" s="2"/>
      <c r="BD47" s="295">
        <f>output!AF18</f>
        <v>1.9065621747462738E-6</v>
      </c>
      <c r="BE47" s="75"/>
      <c r="BF47" s="295">
        <f>output!AF20</f>
        <v>3.0474893837974757E-7</v>
      </c>
      <c r="BG47" s="75"/>
      <c r="BH47" s="299">
        <f>output!AF19</f>
        <v>1.4393888356143258E-5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64.139277274826981</v>
      </c>
      <c r="D48" s="122">
        <f>C48/$C$51</f>
        <v>3.1626402329779028E-6</v>
      </c>
      <c r="E48" s="318">
        <f>E47*FRw.s3C</f>
        <v>3.911259149745677</v>
      </c>
      <c r="F48" s="122">
        <f>E48/$E$51</f>
        <v>1.035791918305999E-5</v>
      </c>
      <c r="G48" s="318">
        <f>G47*FRw.sM</f>
        <v>2.0264089273549177</v>
      </c>
      <c r="H48" s="122">
        <f>G48/$G$51</f>
        <v>3.2734838304730289E-5</v>
      </c>
      <c r="I48" s="318">
        <f>I47*FRw.sA</f>
        <v>0.22438320218068084</v>
      </c>
      <c r="J48" s="122">
        <f>I48/$I$51</f>
        <v>6.3127684742131047E-6</v>
      </c>
      <c r="K48" s="318">
        <f>K47*FRw.sT</f>
        <v>3.172521046852058E-3</v>
      </c>
      <c r="L48" s="123">
        <f>K48/$K$51</f>
        <v>5.7993956375096013E-6</v>
      </c>
      <c r="M48" s="320">
        <f>M49/Kp.s3R</f>
        <v>2.8061109189669238E-7</v>
      </c>
      <c r="N48" s="320">
        <f>N49/Kp.s3C</f>
        <v>1.1220420758685643E-9</v>
      </c>
      <c r="O48" s="320">
        <f>O49/Kp.sM</f>
        <v>5.224643810639254E-12</v>
      </c>
      <c r="P48" s="320">
        <f>P49/Kp.sA</f>
        <v>1.3199011892981224E-12</v>
      </c>
      <c r="Q48" s="320">
        <f>Q49/Kp.sT</f>
        <v>8.2941726715086444E-15</v>
      </c>
      <c r="R48" s="120" t="s">
        <v>1489</v>
      </c>
      <c r="S48" s="325">
        <f>S47*FRACw.s3R</f>
        <v>6.3439861959410008E-6</v>
      </c>
      <c r="T48" s="325">
        <f>T47*FRACw.s3C</f>
        <v>2.5366849872049056E-8</v>
      </c>
      <c r="U48" s="325">
        <f>U47*FRACw.sM</f>
        <v>1.1811745569061988E-10</v>
      </c>
      <c r="V48" s="325">
        <f>V47*FRACw.sA</f>
        <v>2.3097350800799094E-12</v>
      </c>
      <c r="W48" s="326">
        <f>W47*FRACw.sT</f>
        <v>7.1211178909780902E-13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2.799419372346636E-11</v>
      </c>
      <c r="AG48" s="326">
        <f>KDEG.sT*M.sT*Molweight</f>
        <v>1.9767546165095372E-7</v>
      </c>
      <c r="AH48" s="325"/>
      <c r="AI48" s="325"/>
      <c r="AJ48" s="325">
        <f>k.aT.sT*M.aT*Molweight</f>
        <v>3.1652804150103733E-7</v>
      </c>
      <c r="AK48" s="325">
        <f>k.sT.aT*M.sT*Molweight</f>
        <v>1.146252133743401E-7</v>
      </c>
      <c r="AL48" s="333">
        <f>k.sT.w2T*M.sT*Molweight</f>
        <v>4.1993722820200453E-9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37285.659970375178</v>
      </c>
      <c r="D49" s="122">
        <f>C49/$C$51</f>
        <v>1.838516636696236E-3</v>
      </c>
      <c r="E49" s="318">
        <f>E47*FRs.s3C</f>
        <v>2273.7062983818823</v>
      </c>
      <c r="F49" s="122">
        <f>E49/$E$51</f>
        <v>6.0213003493223855E-3</v>
      </c>
      <c r="G49" s="318">
        <f>G47*FRs.sM</f>
        <v>1177.9988399704332</v>
      </c>
      <c r="H49" s="122">
        <f>G49/$G$51</f>
        <v>1.9029526088757732E-2</v>
      </c>
      <c r="I49" s="318">
        <f>I47*FRs.sA</f>
        <v>130.4391963090666</v>
      </c>
      <c r="J49" s="122">
        <f>I49/$I$51</f>
        <v>3.6697597603519124E-3</v>
      </c>
      <c r="K49" s="318">
        <f>K47*FRs.sT</f>
        <v>1.8442605845858218</v>
      </c>
      <c r="L49" s="123">
        <f>K49/$K$51</f>
        <v>3.37132413961151E-3</v>
      </c>
      <c r="M49" s="320">
        <f>C.s3R*FRs.s3R*(Molweight*1000)/(FRACs.s3R*RHOsolid)</f>
        <v>2.1750104254203771E-5</v>
      </c>
      <c r="N49" s="320">
        <f>C.s3C*FRs.s3C*(Molweight*1000)/(FRACs.s3C*RHOsolid)</f>
        <v>8.6969235473874563E-8</v>
      </c>
      <c r="O49" s="320">
        <f>C.sM*FRs.sM*(Molweight*1000)/(FRACs.sM*RHOsolid)</f>
        <v>4.0496099710242315E-10</v>
      </c>
      <c r="P49" s="320">
        <f>C.sA*FRs.sA*(Molweight*1000)/(FRACs.sA*RHOsolid)</f>
        <v>1.0230525200711104E-10</v>
      </c>
      <c r="Q49" s="320">
        <f>C.sT*FRs.sT*(Molweight*1000)/(FRACs.sT*RHOsolid)</f>
        <v>6.4287950660943643E-13</v>
      </c>
      <c r="R49" s="120" t="s">
        <v>1494</v>
      </c>
      <c r="S49" s="325">
        <f>S47*(1-FRACw.s3R)</f>
        <v>2.5375944783764003E-5</v>
      </c>
      <c r="T49" s="325">
        <f>T47*(1-FRACw.s3C)</f>
        <v>1.0146739948819622E-7</v>
      </c>
      <c r="U49" s="325">
        <f>U47*(1-FRACw.sM)</f>
        <v>4.7246982276247951E-10</v>
      </c>
      <c r="V49" s="325">
        <f>V47*(1-FRACw.sA)</f>
        <v>9.2389403203196376E-12</v>
      </c>
      <c r="W49" s="326">
        <f>W47*(1-FRACw.sT)</f>
        <v>2.8484471563912361E-12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4.6227330285750906E-2</v>
      </c>
      <c r="AG49" s="336">
        <f>SUM(AG11:AG48)</f>
        <v>0.90506642922718705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20280295.117359661</v>
      </c>
      <c r="D51" s="130">
        <f>C51/SUM($C$51,$E$51,$G$51,$I$51,$K$51)</f>
        <v>0.97708576265587432</v>
      </c>
      <c r="E51" s="317">
        <f>SUM(E11,E15,E19,E23,E27,E31,E35,E39,E43,E47)</f>
        <v>377610.51043364027</v>
      </c>
      <c r="F51" s="130">
        <f>E51/SUM($C$51,$E$51,$G$51,$I$51,$K$51)</f>
        <v>1.8192923300120244E-2</v>
      </c>
      <c r="G51" s="317">
        <f>SUM(G11,G15,G19,G23,G27,G31,G35,G39,G43,G47)</f>
        <v>61903.740244291825</v>
      </c>
      <c r="H51" s="130">
        <f>G51/SUM($C$51,$E$51,$G$51,$I$51,$K$51)</f>
        <v>2.9824646484592049E-3</v>
      </c>
      <c r="I51" s="317">
        <f>SUM(I11,I15,I19,I23,I27,I31,I35,I39,I43,I47)</f>
        <v>35544.342089727994</v>
      </c>
      <c r="J51" s="130">
        <f>I51/SUM($C$51,$E$51,$G$51,$I$51,$K$51)</f>
        <v>1.7124933536649999E-3</v>
      </c>
      <c r="K51" s="317">
        <f>SUM(K11,K15,K19,K23,K27,K31,K35,K39,K43,K47)</f>
        <v>547.04338954436537</v>
      </c>
      <c r="L51" s="130">
        <f>K51/SUM($C$51,$E$51,$G$51,$I$51,$K$51)</f>
        <v>2.6356041881327399E-5</v>
      </c>
      <c r="M51" s="199"/>
      <c r="N51" s="199"/>
      <c r="O51" s="199"/>
      <c r="P51" s="199"/>
      <c r="Q51" s="199"/>
      <c r="R51" s="199"/>
      <c r="S51" s="328">
        <f>SUM(S11,S15,S19,S23,S27,S35,S39,S43,S47)</f>
        <v>0.10776557463319318</v>
      </c>
      <c r="T51" s="328">
        <f>SUM(T11,T15,T19,T23,T27,T35,T39,T43,T47)</f>
        <v>5.3156410489186507E-6</v>
      </c>
      <c r="U51" s="328">
        <f>SUM(U11,U15,U19,U23,U27,U35,U39,U43,U47)</f>
        <v>7.8361741321611452E-9</v>
      </c>
      <c r="V51" s="328">
        <f>SUM(V11,V15,V19,V23,V27,V35,V39,V43,V47)</f>
        <v>7.1152403960496144E-10</v>
      </c>
      <c r="W51" s="328">
        <f>SUM(W11,W15,W19,W23,W27,W35,W39,W43,W47)</f>
        <v>8.861646744280057E-11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3.1804460324386175E-8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8.8372021532002735E-8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8.6848500595908367E-6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5.5375477354226324E-7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6.3988200699303499E-2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6.7882062794662511E-3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4.454461370846763E-5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8.3141102931579122E-5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1.9224464629036997E-5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R verification base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6.3015594257063157E-2</v>
      </c>
      <c r="AY72" s="75"/>
      <c r="AZ72" s="256">
        <f>output!AF22</f>
        <v>3.4619279342906186E-7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6.8782390177842809E-2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1.5897244087173584E-3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2.5026858916633822E-3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2.6272435375672664E-4</v>
      </c>
      <c r="BE84" s="2"/>
      <c r="BF84" s="304">
        <f>IF(output!AK30&lt;0,"",output!AK30)</f>
        <v>2.3139432764587056E-4</v>
      </c>
      <c r="BG84" s="75"/>
      <c r="BH84" s="311">
        <f>IF(output!AK29&lt;0,"",output!AK29)</f>
        <v>1.0240777330461066E-3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1.0373890864539285E-3</v>
      </c>
      <c r="AV85" s="87"/>
      <c r="AW85" s="75"/>
      <c r="AX85" s="304">
        <f>output!AL24</f>
        <v>3.0124232704340072E-5</v>
      </c>
      <c r="AY85" s="87"/>
      <c r="AZ85" s="201"/>
      <c r="BA85" s="311">
        <f>IF(output!AI23&lt;0,"",output!AI23)</f>
        <v>3.0904053075033853E-6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8.99645453052677E-4</v>
      </c>
      <c r="BE86" s="87"/>
      <c r="BF86" s="304">
        <f>IF(output!AJ30&lt;0,"",output!AJ30)</f>
        <v>3.3320201964913957E-4</v>
      </c>
      <c r="BG86" s="75"/>
      <c r="BH86" s="311">
        <f>IF(output!AJ29&lt;0,"",output!AJ29)</f>
        <v>1.9992121178948378E-3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3.4452529439160081E-3</v>
      </c>
      <c r="AV87" s="200"/>
      <c r="AW87" s="84"/>
      <c r="AX87" s="304">
        <f>IF(output!AH24&lt;0,"",output!AH24)</f>
        <v>8.893820352601918E-5</v>
      </c>
      <c r="AY87" s="291">
        <f>output!AL24</f>
        <v>3.0124232704340072E-5</v>
      </c>
      <c r="AZ87" s="75"/>
      <c r="BA87" s="311">
        <f>IF(output!AH23&lt;0,"",output!AH23)</f>
        <v>8.0852912296381086E-6</v>
      </c>
      <c r="BB87" s="291">
        <f>output!AL23</f>
        <v>2.7385666094854615E-6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3.8292496905960932E-7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4.4332325763450208E-6</v>
      </c>
      <c r="AT89" s="83"/>
      <c r="AU89" s="302"/>
      <c r="AV89" s="75"/>
      <c r="AW89" s="81"/>
      <c r="AX89" s="265">
        <f>output!AD24</f>
        <v>3.8292496905960932E-7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3.1042101763762318E-3</v>
      </c>
      <c r="AT90" s="81"/>
      <c r="AU90" s="278">
        <f>output!AD25</f>
        <v>7.6495768135176213E-3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7.3505275625605723E-6</v>
      </c>
      <c r="BB91" s="309">
        <f>IF(ISERROR(output!F15),0,output!F15)</f>
        <v>4.2301369069793588E-4</v>
      </c>
      <c r="BC91" s="2"/>
      <c r="BD91" s="295">
        <f>output!AG28</f>
        <v>6.1920528554522739E-4</v>
      </c>
      <c r="BE91" s="2"/>
      <c r="BF91" s="312">
        <f>output!AG30</f>
        <v>9.897595974919309E-5</v>
      </c>
      <c r="BG91" s="75"/>
      <c r="BH91" s="295">
        <f>output!AG29</f>
        <v>9.6260203811037142E-4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1.6161259107434501E-4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2.7781923720657037E-6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2.0719131437935075E-4</v>
      </c>
      <c r="AZ96" s="75"/>
      <c r="BA96" s="75"/>
      <c r="BB96" s="43"/>
      <c r="BC96" s="2"/>
      <c r="BD96" s="277">
        <f>IF(ISERROR(output!F39),0,output!F39)</f>
        <v>3.7735125398098181E-2</v>
      </c>
      <c r="BE96" s="43"/>
      <c r="BF96" s="277">
        <f>IF(ISERROR(output!F47),0,output!F47)</f>
        <v>6.0317157164513913E-3</v>
      </c>
      <c r="BG96" s="43"/>
      <c r="BH96" s="277">
        <f>IF(ISERROR(output!F43),0,output!F43)</f>
        <v>5.8662142369433332E-2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4.4772638674783439E-3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2.8049044684099931E-4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5.6498661031965128E-5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0.25926202790863379</v>
      </c>
      <c r="AW101" s="56"/>
      <c r="AX101" s="307"/>
      <c r="AY101" s="276">
        <f>IF(ISERROR(output!F23),0,output!F23)</f>
        <v>1.5479471142179867E-2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4.2395621409644048E-3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6.715528768089527E-3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0.61974220529176782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2.2620026525693869E-3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2.1396397455573601E-4</v>
      </c>
      <c r="AW111" s="75"/>
      <c r="AX111" s="290">
        <f>output!AF26</f>
        <v>1.6800471429683382E-5</v>
      </c>
      <c r="AY111" s="75"/>
      <c r="AZ111" s="75"/>
      <c r="BA111" s="75"/>
      <c r="BB111" s="76"/>
      <c r="BC111" s="2"/>
      <c r="BD111" s="295">
        <f>output!AF28</f>
        <v>1.1626358995439233E-7</v>
      </c>
      <c r="BE111" s="76"/>
      <c r="BF111" s="295">
        <f>output!AF30</f>
        <v>1.8583808927340063E-8</v>
      </c>
      <c r="BG111" s="43"/>
      <c r="BH111" s="294">
        <f>output!AF29</f>
        <v>8.2246030450660608E-8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1.3126929846943497E-10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1.8329517782212104E-10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2.1220610277871056E-10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1.3181963033255137E-10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1.5634912060716541E-6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1.6159117449342421E-6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1.7811468719552536E-7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3.1150453739415148E-8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7.6870297799089683E-8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R verification base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2.3895938828765669E-5</v>
      </c>
      <c r="AT136" s="81">
        <f>output!AD32</f>
        <v>1.3062335904213298E-3</v>
      </c>
      <c r="AU136" s="268">
        <f>output!AF32</f>
        <v>7.5166756007790862E-9</v>
      </c>
      <c r="AV136" s="221"/>
      <c r="AW136" s="221"/>
      <c r="AX136" s="221"/>
      <c r="AY136" s="279">
        <f>output!AE38</f>
        <v>3.2070418554839009E-7</v>
      </c>
      <c r="AZ136" s="266">
        <f>output!AD38</f>
        <v>7.7833636487402146E-6</v>
      </c>
      <c r="BA136" s="268">
        <f>output!AF38</f>
        <v>1.696882012779346E-10</v>
      </c>
      <c r="BB136" s="75"/>
      <c r="BC136" s="75"/>
      <c r="BD136" s="75"/>
      <c r="BE136" s="279">
        <f>output!AE44</f>
        <v>6.9121691596587426E-8</v>
      </c>
      <c r="BF136" s="266">
        <f>output!AD44</f>
        <v>1.348118129340273E-5</v>
      </c>
      <c r="BG136" s="268">
        <f>output!AF44</f>
        <v>6.3346409428290658E-11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1.3682196418040699E-3</v>
      </c>
      <c r="AV141" s="223" t="s">
        <v>446</v>
      </c>
      <c r="AW141" s="221"/>
      <c r="AX141" s="221"/>
      <c r="AY141" s="2"/>
      <c r="AZ141" s="202"/>
      <c r="BA141" s="269">
        <f>output!AG38</f>
        <v>2.5824928218022524E-5</v>
      </c>
      <c r="BB141" s="47" t="s">
        <v>446</v>
      </c>
      <c r="BC141" s="75"/>
      <c r="BD141" s="75"/>
      <c r="BE141" s="2"/>
      <c r="BF141" s="202"/>
      <c r="BG141" s="269">
        <f>output!AG44</f>
        <v>1.2815626194764951E-5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3.3146777565501114E-4</v>
      </c>
      <c r="AW142" s="221"/>
      <c r="AX142" s="221"/>
      <c r="AY142" s="203"/>
      <c r="AZ142" s="202"/>
      <c r="BA142" s="75"/>
      <c r="BB142" s="277">
        <f>IF(ISERROR(output!J11),0,output!J11)</f>
        <v>1.3032074749478588E-5</v>
      </c>
      <c r="BC142" s="75"/>
      <c r="BD142" s="75"/>
      <c r="BE142" s="203"/>
      <c r="BF142" s="75"/>
      <c r="BG142" s="75"/>
      <c r="BH142" s="277">
        <f>IF(ISERROR(output!L11),0,output!L11)</f>
        <v>3.1610591706962527E-4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2.1757141342679746E-5</v>
      </c>
      <c r="AY144" s="2"/>
      <c r="AZ144" s="75"/>
      <c r="BA144" s="75"/>
      <c r="BB144" s="75"/>
      <c r="BC144" s="75"/>
      <c r="BD144" s="270">
        <f>k.sA.aA*M.sA*Molweight</f>
        <v>2.2518190356181578E-7</v>
      </c>
      <c r="BE144" s="2"/>
      <c r="BF144" s="75"/>
      <c r="BG144" s="75"/>
      <c r="BH144" s="75"/>
      <c r="BI144" s="75"/>
      <c r="BJ144" s="270">
        <f>k.sT.aT*M.sT*Molweight</f>
        <v>1.146252133743401E-7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2.0782573234176627E-4</v>
      </c>
      <c r="AV145" s="221"/>
      <c r="AW145" s="221"/>
      <c r="AX145" s="221"/>
      <c r="AY145" s="2"/>
      <c r="AZ145" s="75"/>
      <c r="BA145" s="270">
        <f>k.w2A.aA*M.w2A*Molweight</f>
        <v>2.2237702056010841E-5</v>
      </c>
      <c r="BB145" s="75"/>
      <c r="BC145" s="75"/>
      <c r="BD145" s="221"/>
      <c r="BE145" s="2"/>
      <c r="BF145" s="75"/>
      <c r="BG145" s="270">
        <f>k.w2T.aT*M.w2T*Molweight</f>
        <v>2.5901919334023761E-7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7.4502850613121293E-5</v>
      </c>
      <c r="AY146" s="2"/>
      <c r="AZ146" s="75"/>
      <c r="BA146" s="221"/>
      <c r="BB146" s="75"/>
      <c r="BC146" s="75"/>
      <c r="BD146" s="270">
        <f>IF(output!AJ42&lt;0,"",output!AJ42)</f>
        <v>1.5209891789539199E-6</v>
      </c>
      <c r="BE146" s="2"/>
      <c r="BF146" s="75"/>
      <c r="BG146" s="221"/>
      <c r="BH146" s="75"/>
      <c r="BI146" s="75"/>
      <c r="BJ146" s="270">
        <f>IF(output!AJ48&lt;0,"",output!AJ48)</f>
        <v>3.1652804150103733E-7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2.8816607446315603E-3</v>
      </c>
      <c r="AT147" s="81">
        <f>output!AD33</f>
        <v>3.4673156486443981E-3</v>
      </c>
      <c r="AU147" s="270">
        <f>IF(output!AH33&lt;0,"",output!AH33)</f>
        <v>6.9190516184217975E-5</v>
      </c>
      <c r="AV147" s="272">
        <f>output!AL33</f>
        <v>1.4574815579144095E-6</v>
      </c>
      <c r="AW147" s="221"/>
      <c r="AX147" s="221"/>
      <c r="AY147" s="279">
        <f>output!AE39</f>
        <v>5.8340840012261765E-4</v>
      </c>
      <c r="AZ147" s="266">
        <f>output!AD39</f>
        <v>6.2457262691446923E-4</v>
      </c>
      <c r="BA147" s="270">
        <f>IF(output!AH39&lt;0,"",output!AH39)</f>
        <v>2.5794563375867634E-6</v>
      </c>
      <c r="BB147" s="272">
        <f>output!AL39</f>
        <v>5.9668744605761966E-8</v>
      </c>
      <c r="BC147" s="75"/>
      <c r="BD147" s="75"/>
      <c r="BE147" s="279">
        <f>output!AE45</f>
        <v>2.7720488144403014E-6</v>
      </c>
      <c r="BF147" s="266">
        <f>output!AD45</f>
        <v>3.6524356844855521E-6</v>
      </c>
      <c r="BG147" s="270">
        <f>IF(output!AH45&lt;0,"",output!AH45)</f>
        <v>6.5348642584529617E-7</v>
      </c>
      <c r="BH147" s="272">
        <f>output!AL45</f>
        <v>4.1993722820200453E-9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0.15841406804456865</v>
      </c>
      <c r="AW150" s="221"/>
      <c r="AX150" s="221"/>
      <c r="AY150" s="2"/>
      <c r="AZ150" s="75"/>
      <c r="BA150" s="59"/>
      <c r="BB150" s="273">
        <f>IF(ISERROR(output!J27),0,output!J27)</f>
        <v>6.0957669745747879E-2</v>
      </c>
      <c r="BC150" s="78"/>
      <c r="BD150" s="75"/>
      <c r="BE150" s="2"/>
      <c r="BF150" s="75"/>
      <c r="BG150" s="59"/>
      <c r="BH150" s="273">
        <f>IF(ISERROR(output!L27),0,output!L27)</f>
        <v>2.0763388523132944E-2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5.127859950972266E-5</v>
      </c>
      <c r="AY151" s="2"/>
      <c r="AZ151" s="75"/>
      <c r="BA151" s="59"/>
      <c r="BB151" s="49"/>
      <c r="BC151" s="75"/>
      <c r="BD151" s="274">
        <f>output!AJ42</f>
        <v>1.5209891789539199E-6</v>
      </c>
      <c r="BE151" s="2"/>
      <c r="BF151" s="75"/>
      <c r="BG151" s="59"/>
      <c r="BH151" s="59"/>
      <c r="BI151" s="75"/>
      <c r="BJ151" s="274">
        <f>output!AG48</f>
        <v>1.9767546165095372E-7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4.484771694132043E-4</v>
      </c>
      <c r="AW152" s="221"/>
      <c r="AX152" s="221"/>
      <c r="AY152" s="2"/>
      <c r="AZ152" s="75"/>
      <c r="BA152" s="59"/>
      <c r="BB152" s="257">
        <f>output!AG39</f>
        <v>2.1565649818033175E-5</v>
      </c>
      <c r="BC152" s="2"/>
      <c r="BD152" s="75"/>
      <c r="BE152" s="2"/>
      <c r="BF152" s="75"/>
      <c r="BG152" s="59"/>
      <c r="BH152" s="257">
        <f>output!AG45</f>
        <v>1.2790534748323286E-6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3.6453973690546106E-4</v>
      </c>
      <c r="AU153" s="224"/>
      <c r="AV153" s="225"/>
      <c r="AW153" s="221"/>
      <c r="AX153" s="221"/>
      <c r="AY153" s="2"/>
      <c r="AZ153" s="275">
        <f>k.w3A.w2A*M.w3A*Molweight</f>
        <v>2.4531747109735199E-4</v>
      </c>
      <c r="BA153" s="59"/>
      <c r="BB153" s="49"/>
      <c r="BC153" s="2"/>
      <c r="BD153" s="75"/>
      <c r="BE153" s="2"/>
      <c r="BF153" s="275">
        <f>k.w3T.w2T*M.w3T*Molweight</f>
        <v>3.6524356844855521E-6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2.4428964267078045E-3</v>
      </c>
      <c r="AU155" s="221"/>
      <c r="AV155" s="223" t="s">
        <v>2166</v>
      </c>
      <c r="AW155" s="221"/>
      <c r="AX155" s="271">
        <f>IF(ISERROR(output!H47),0,output!H47)</f>
        <v>1.9062264095839557E-2</v>
      </c>
      <c r="AY155" s="2"/>
      <c r="AZ155" s="275">
        <f>k.w2A.w3A*M.w2A*Molweight</f>
        <v>5.8340840012261765E-4</v>
      </c>
      <c r="BA155" s="75"/>
      <c r="BB155" s="223" t="s">
        <v>2166</v>
      </c>
      <c r="BC155" s="47"/>
      <c r="BD155" s="271">
        <f>IF(ISERROR(output!J47),0,output!J47)</f>
        <v>3.6760725800832005E-3</v>
      </c>
      <c r="BE155" s="2"/>
      <c r="BF155" s="275">
        <f>k.w2T.w3T*M.w2T*Molweight</f>
        <v>2.5811500844214575E-6</v>
      </c>
      <c r="BG155" s="75"/>
      <c r="BH155" s="223" t="s">
        <v>2166</v>
      </c>
      <c r="BI155" s="47"/>
      <c r="BJ155" s="271">
        <f>IF(ISERROR(output!L47),0,output!L47)</f>
        <v>3.3771255742175879E-3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0.70917729530902629</v>
      </c>
      <c r="AW156" s="221"/>
      <c r="AX156" s="221"/>
      <c r="AY156" s="203"/>
      <c r="AZ156" s="2"/>
      <c r="BA156" s="75"/>
      <c r="BB156" s="273">
        <f>IF(ISERROR(output!J31),0,output!J31)</f>
        <v>0.76896294514467833</v>
      </c>
      <c r="BC156" s="75"/>
      <c r="BD156" s="75"/>
      <c r="BE156" s="203"/>
      <c r="BF156" s="2"/>
      <c r="BG156" s="75"/>
      <c r="BH156" s="273">
        <f>IF(ISERROR(output!L31),0,output!L31)</f>
        <v>0.88143198216689589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4.2113385739706559E-4</v>
      </c>
      <c r="AT157" s="266">
        <f>output!AD34</f>
        <v>2.4964891364657399E-3</v>
      </c>
      <c r="AU157" s="221"/>
      <c r="AV157" s="225"/>
      <c r="AW157" s="226"/>
      <c r="AX157" s="221"/>
      <c r="AY157" s="279">
        <f>output!AE40</f>
        <v>2.9891018085528766E-4</v>
      </c>
      <c r="AZ157" s="266">
        <f>output!AD40</f>
        <v>5.8340840012261765E-4</v>
      </c>
      <c r="BA157" s="75"/>
      <c r="BB157" s="2"/>
      <c r="BC157" s="76"/>
      <c r="BD157" s="75"/>
      <c r="BE157" s="279">
        <f>output!AE46</f>
        <v>3.6524356844855521E-6</v>
      </c>
      <c r="BF157" s="266">
        <f>output!AD46</f>
        <v>5.9175270576025949E-5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2.00771200397949E-3</v>
      </c>
      <c r="AW158" s="226"/>
      <c r="AX158" s="221"/>
      <c r="AY158" s="2"/>
      <c r="AZ158" s="75"/>
      <c r="BA158" s="75"/>
      <c r="BB158" s="274">
        <f>output!AG40</f>
        <v>2.7204428363488016E-4</v>
      </c>
      <c r="BC158" s="2"/>
      <c r="BD158" s="75"/>
      <c r="BE158" s="2"/>
      <c r="BF158" s="75"/>
      <c r="BG158" s="75"/>
      <c r="BH158" s="274">
        <f>output!AG46</f>
        <v>5.4297430227385854E-5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1.3311695288097876E-4</v>
      </c>
      <c r="AU159" s="221"/>
      <c r="AV159" s="221"/>
      <c r="AW159" s="226"/>
      <c r="AX159" s="221"/>
      <c r="AY159" s="2"/>
      <c r="AZ159" s="272">
        <f>k.sdA.w3A*M.sdA*Molweight</f>
        <v>1.1253796145076031E-4</v>
      </c>
      <c r="BA159" s="2"/>
      <c r="BB159" s="75"/>
      <c r="BC159" s="2"/>
      <c r="BD159" s="75"/>
      <c r="BE159" s="2"/>
      <c r="BF159" s="275">
        <f>k.sdT.w3T*M.sdT*Molweight</f>
        <v>9.7963571161792722E-7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2.0076022797016374E-4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1.2499189708321009E-4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2.2050403757724374E-6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0.11301490477491062</v>
      </c>
      <c r="AW162" s="221"/>
      <c r="AX162" s="221"/>
      <c r="AY162" s="2"/>
      <c r="AZ162" s="75"/>
      <c r="BA162" s="47"/>
      <c r="BB162" s="276">
        <f>IF(ISERROR(output!J35),0,output!J35)</f>
        <v>0.16639028045474111</v>
      </c>
      <c r="BC162" s="75"/>
      <c r="BD162" s="75"/>
      <c r="BE162" s="2"/>
      <c r="BF162" s="75"/>
      <c r="BG162" s="47"/>
      <c r="BH162" s="276">
        <f>IF(ISERROR(output!L35),0,output!L35)</f>
        <v>9.411139781868412E-2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6.7622399349520748E-5</v>
      </c>
      <c r="AV164" s="269">
        <f>output!AF35</f>
        <v>2.0875739664173966E-8</v>
      </c>
      <c r="AW164" s="221"/>
      <c r="AX164" s="274">
        <f>output!AF36</f>
        <v>9.6282028044775803E-9</v>
      </c>
      <c r="AY164" s="2"/>
      <c r="AZ164" s="2"/>
      <c r="BA164" s="269">
        <f>output!AG41</f>
        <v>1.2441433025801539E-5</v>
      </c>
      <c r="BB164" s="269">
        <f>output!AF41</f>
        <v>1.2502606648251809E-8</v>
      </c>
      <c r="BC164" s="75"/>
      <c r="BD164" s="274">
        <f>output!AF42</f>
        <v>3.8075923855635617E-10</v>
      </c>
      <c r="BE164" s="2"/>
      <c r="BF164" s="2"/>
      <c r="BG164" s="269">
        <f>output!AG47</f>
        <v>1.2252958297682893E-6</v>
      </c>
      <c r="BH164" s="269">
        <f>output!AF47</f>
        <v>1.0883438621996321E-10</v>
      </c>
      <c r="BI164" s="75"/>
      <c r="BJ164" s="274">
        <f>output!AF48</f>
        <v>2.799419372346636E-11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20.519095083501007</v>
      </c>
      <c r="BA172" s="128">
        <f>output!I11</f>
        <v>0.46321652303437316</v>
      </c>
      <c r="BB172" s="128">
        <f>output!K11</f>
        <v>0.17292365232879786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9806.4233192725478</v>
      </c>
      <c r="BA173" s="128">
        <f>output!I27</f>
        <v>2166.700266435525</v>
      </c>
      <c r="BB173" s="128">
        <f>output!K27</f>
        <v>11.35847443612122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43900.727075959396</v>
      </c>
      <c r="BA174" s="128">
        <f>output!I31</f>
        <v>27332.28197654719</v>
      </c>
      <c r="BB174" s="128">
        <f>output!K31</f>
        <v>482.18153917738732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6996.0453089194425</v>
      </c>
      <c r="BA175" s="128">
        <f>output!I35</f>
        <v>5914.2330488890993</v>
      </c>
      <c r="BB175" s="128">
        <f>output!K35</f>
        <v>51.483018057491151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1180.0254450569423</v>
      </c>
      <c r="BA176" s="128">
        <f>output!I47</f>
        <v>130.66358133314628</v>
      </c>
      <c r="BB176" s="128">
        <f>output!K47</f>
        <v>1.8474342210369505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R verification base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0.69186335845056224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2.0755900753516867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2.0755900753516867</v>
      </c>
      <c r="G11" s="508">
        <f>2*Scale*(M.tot/Emis.tot)/(3600*24*365)</f>
        <v>4.1511801507033734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tabSelected="1" zoomScaleNormal="100" workbookViewId="0">
      <pane xSplit="7" ySplit="3" topLeftCell="H60" activePane="bottomRight" state="frozen"/>
      <selection pane="topRight" activeCell="H1" sqref="H1"/>
      <selection pane="bottomLeft" activeCell="A4" sqref="A4"/>
      <selection pane="bottomRight" activeCell="K72" sqref="K72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3" width="9.109375" style="430" customWidth="1"/>
    <col min="14" max="18" width="9.109375" style="179" customWidth="1"/>
    <col min="19" max="19" width="3.109375" customWidth="1"/>
    <col min="20" max="16384" width="9.109375" style="18"/>
  </cols>
  <sheetData>
    <row r="1" spans="1:19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60"/>
      <c r="O1" s="360"/>
      <c r="P1" s="360"/>
      <c r="Q1" s="360"/>
      <c r="R1" s="360"/>
      <c r="S1" s="158"/>
    </row>
    <row r="2" spans="1:19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1"/>
      <c r="O2" s="421"/>
      <c r="P2" s="421"/>
      <c r="Q2" s="421"/>
      <c r="R2" s="421"/>
      <c r="S2" s="158"/>
    </row>
    <row r="3" spans="1:19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4058</v>
      </c>
      <c r="M3" s="428" t="s">
        <v>2201</v>
      </c>
      <c r="N3" s="423" t="s">
        <v>2203</v>
      </c>
      <c r="O3" s="423" t="s">
        <v>2206</v>
      </c>
      <c r="P3" s="423" t="s">
        <v>2204</v>
      </c>
      <c r="Q3" s="423" t="s">
        <v>2205</v>
      </c>
      <c r="R3" s="423" t="s">
        <v>2207</v>
      </c>
      <c r="S3" s="158"/>
    </row>
    <row r="4" spans="1:19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33"/>
      <c r="N4" s="422"/>
      <c r="O4" s="422"/>
      <c r="P4" s="422"/>
      <c r="Q4" s="422"/>
      <c r="R4" s="422"/>
      <c r="S4" s="158"/>
    </row>
    <row r="5" spans="1:19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50"/>
      <c r="O5" s="450"/>
      <c r="P5" s="450"/>
      <c r="Q5" s="450"/>
      <c r="R5" s="450"/>
      <c r="S5" s="158"/>
    </row>
    <row r="6" spans="1:19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2"/>
      <c r="O6" s="452"/>
      <c r="P6" s="452"/>
      <c r="Q6" s="452"/>
      <c r="R6" s="452"/>
      <c r="S6" s="158"/>
    </row>
    <row r="7" spans="1:19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51"/>
      <c r="N7" s="452"/>
      <c r="O7" s="452"/>
      <c r="P7" s="452"/>
      <c r="Q7" s="452"/>
      <c r="R7" s="452"/>
      <c r="S7" s="158"/>
    </row>
    <row r="8" spans="1:19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50"/>
      <c r="O8" s="450"/>
      <c r="P8" s="450"/>
      <c r="Q8" s="450"/>
      <c r="R8" s="450"/>
      <c r="S8" s="158"/>
    </row>
    <row r="9" spans="1:19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53"/>
      <c r="N9" s="454"/>
      <c r="O9" s="454"/>
      <c r="P9" s="454"/>
      <c r="Q9" s="454"/>
      <c r="R9" s="454"/>
      <c r="S9" s="158"/>
    </row>
    <row r="10" spans="1:19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50"/>
      <c r="O10" s="450"/>
      <c r="P10" s="450"/>
      <c r="Q10" s="450"/>
      <c r="R10" s="450"/>
      <c r="S10" s="158"/>
    </row>
    <row r="11" spans="1:19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6"/>
      <c r="O11" s="456"/>
      <c r="P11" s="456"/>
      <c r="Q11" s="456"/>
      <c r="R11" s="456"/>
      <c r="S11" s="158"/>
    </row>
    <row r="12" spans="1:19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/>
      <c r="N12" s="458"/>
      <c r="O12" s="458"/>
      <c r="P12" s="458"/>
      <c r="Q12" s="458"/>
      <c r="R12" s="458"/>
      <c r="S12" s="158"/>
    </row>
    <row r="13" spans="1:19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60"/>
      <c r="O13" s="360"/>
      <c r="P13" s="360"/>
      <c r="Q13" s="360"/>
      <c r="R13" s="360"/>
      <c r="S13" s="158"/>
    </row>
    <row r="14" spans="1:19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2"/>
      <c r="O14" s="452"/>
      <c r="P14" s="452"/>
      <c r="Q14" s="452"/>
      <c r="R14" s="452"/>
      <c r="S14" s="158"/>
    </row>
    <row r="15" spans="1:19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2"/>
      <c r="O15" s="452"/>
      <c r="P15" s="452"/>
      <c r="Q15" s="452"/>
      <c r="R15" s="452"/>
      <c r="S15" s="158"/>
    </row>
    <row r="16" spans="1:19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60"/>
      <c r="O16" s="460"/>
      <c r="P16" s="460"/>
      <c r="Q16" s="460"/>
      <c r="R16" s="460"/>
      <c r="S16" s="158"/>
    </row>
    <row r="17" spans="1:19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2"/>
      <c r="O17" s="452"/>
      <c r="P17" s="452"/>
      <c r="Q17" s="452"/>
      <c r="R17" s="452"/>
      <c r="S17" s="158"/>
    </row>
    <row r="18" spans="1:19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2"/>
      <c r="O18" s="452"/>
      <c r="P18" s="452"/>
      <c r="Q18" s="452"/>
      <c r="R18" s="452"/>
      <c r="S18" s="158"/>
    </row>
    <row r="19" spans="1:19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2"/>
      <c r="O19" s="452"/>
      <c r="P19" s="452"/>
      <c r="Q19" s="452"/>
      <c r="R19" s="452"/>
      <c r="S19" s="158"/>
    </row>
    <row r="20" spans="1:19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2"/>
      <c r="O20" s="452"/>
      <c r="P20" s="452"/>
      <c r="Q20" s="452"/>
      <c r="R20" s="452"/>
      <c r="S20" s="158"/>
    </row>
    <row r="21" spans="1:19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2"/>
      <c r="O21" s="452"/>
      <c r="P21" s="452"/>
      <c r="Q21" s="452"/>
      <c r="R21" s="452"/>
      <c r="S21" s="158"/>
    </row>
    <row r="22" spans="1:19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2"/>
      <c r="O22" s="452"/>
      <c r="P22" s="452"/>
      <c r="Q22" s="452"/>
      <c r="R22" s="452"/>
      <c r="S22" s="158"/>
    </row>
    <row r="23" spans="1:19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2"/>
      <c r="O23" s="452"/>
      <c r="P23" s="452"/>
      <c r="Q23" s="452"/>
      <c r="R23" s="452"/>
      <c r="S23" s="158"/>
    </row>
    <row r="24" spans="1:19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>
        <v>1</v>
      </c>
      <c r="N24" s="452">
        <v>1</v>
      </c>
      <c r="O24" s="452">
        <v>1</v>
      </c>
      <c r="P24" s="452">
        <v>1</v>
      </c>
      <c r="Q24" s="452">
        <v>1</v>
      </c>
      <c r="R24" s="452"/>
      <c r="S24" s="158"/>
    </row>
    <row r="25" spans="1:19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>
        <v>1</v>
      </c>
      <c r="N25" s="452">
        <v>1</v>
      </c>
      <c r="O25" s="452">
        <v>1</v>
      </c>
      <c r="P25" s="452">
        <v>1</v>
      </c>
      <c r="Q25" s="452">
        <v>1</v>
      </c>
      <c r="R25" s="452"/>
      <c r="S25" s="158"/>
    </row>
    <row r="26" spans="1:19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>
        <v>1</v>
      </c>
      <c r="N26" s="452">
        <v>1</v>
      </c>
      <c r="O26" s="452">
        <v>1</v>
      </c>
      <c r="P26" s="452">
        <v>1</v>
      </c>
      <c r="Q26" s="452">
        <v>1</v>
      </c>
      <c r="R26" s="452"/>
      <c r="S26" s="158"/>
    </row>
    <row r="27" spans="1:19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>
        <v>1</v>
      </c>
      <c r="N27" s="452">
        <v>1</v>
      </c>
      <c r="O27" s="452">
        <v>1</v>
      </c>
      <c r="P27" s="452">
        <v>1</v>
      </c>
      <c r="Q27" s="452">
        <v>1</v>
      </c>
      <c r="R27" s="452"/>
      <c r="S27" s="158"/>
    </row>
    <row r="28" spans="1:19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>
        <v>1</v>
      </c>
      <c r="N28" s="452">
        <v>1</v>
      </c>
      <c r="O28" s="452">
        <v>1</v>
      </c>
      <c r="P28" s="452">
        <v>1</v>
      </c>
      <c r="Q28" s="452">
        <v>1</v>
      </c>
      <c r="R28" s="452"/>
      <c r="S28" s="158"/>
    </row>
    <row r="29" spans="1:19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>
        <v>1</v>
      </c>
      <c r="N29" s="452">
        <v>1</v>
      </c>
      <c r="O29" s="452">
        <v>1</v>
      </c>
      <c r="P29" s="452">
        <v>1</v>
      </c>
      <c r="Q29" s="452">
        <v>1</v>
      </c>
      <c r="R29" s="452"/>
      <c r="S29" s="158"/>
    </row>
    <row r="30" spans="1:19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>
        <v>1</v>
      </c>
      <c r="N30" s="452">
        <v>1</v>
      </c>
      <c r="O30" s="452">
        <v>1</v>
      </c>
      <c r="P30" s="452">
        <v>1</v>
      </c>
      <c r="Q30" s="452">
        <v>1</v>
      </c>
      <c r="R30" s="452"/>
      <c r="S30" s="158"/>
    </row>
    <row r="31" spans="1:19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>
        <v>1</v>
      </c>
      <c r="N31" s="452">
        <v>1</v>
      </c>
      <c r="O31" s="452">
        <v>1</v>
      </c>
      <c r="P31" s="452">
        <v>1</v>
      </c>
      <c r="Q31" s="452">
        <v>1</v>
      </c>
      <c r="R31" s="452"/>
      <c r="S31" s="158"/>
    </row>
    <row r="32" spans="1:19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>
        <v>1</v>
      </c>
      <c r="N32" s="452">
        <v>1</v>
      </c>
      <c r="O32" s="452">
        <v>1</v>
      </c>
      <c r="P32" s="452">
        <v>1</v>
      </c>
      <c r="Q32" s="452">
        <v>1</v>
      </c>
      <c r="R32" s="452"/>
      <c r="S32" s="158"/>
    </row>
    <row r="33" spans="1:19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>
        <v>1</v>
      </c>
      <c r="N33" s="452">
        <v>1</v>
      </c>
      <c r="O33" s="452">
        <v>1</v>
      </c>
      <c r="P33" s="452">
        <v>1</v>
      </c>
      <c r="Q33" s="452">
        <v>1</v>
      </c>
      <c r="R33" s="452"/>
      <c r="S33" s="158"/>
    </row>
    <row r="34" spans="1:19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>
        <v>1</v>
      </c>
      <c r="N34" s="452">
        <v>1</v>
      </c>
      <c r="O34" s="452">
        <v>1</v>
      </c>
      <c r="P34" s="452">
        <v>1</v>
      </c>
      <c r="Q34" s="452">
        <v>1</v>
      </c>
      <c r="R34" s="452"/>
      <c r="S34" s="158"/>
    </row>
    <row r="35" spans="1:19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2"/>
      <c r="O35" s="452"/>
      <c r="P35" s="452"/>
      <c r="Q35" s="452"/>
      <c r="R35" s="452"/>
      <c r="S35" s="158"/>
    </row>
    <row r="36" spans="1:19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>
        <v>50</v>
      </c>
      <c r="N36" s="452">
        <v>50</v>
      </c>
      <c r="O36" s="452">
        <v>50</v>
      </c>
      <c r="P36" s="452"/>
      <c r="Q36" s="452">
        <v>50</v>
      </c>
      <c r="R36" s="452">
        <v>50</v>
      </c>
      <c r="S36" s="158"/>
    </row>
    <row r="37" spans="1:19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2"/>
      <c r="O37" s="452"/>
      <c r="P37" s="452"/>
      <c r="Q37" s="452"/>
      <c r="R37" s="452"/>
      <c r="S37" s="158"/>
    </row>
    <row r="38" spans="1:19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2"/>
      <c r="O38" s="452"/>
      <c r="P38" s="452"/>
      <c r="Q38" s="452"/>
      <c r="R38" s="452"/>
      <c r="S38" s="158"/>
    </row>
    <row r="39" spans="1:19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2"/>
      <c r="O39" s="452"/>
      <c r="P39" s="452"/>
      <c r="Q39" s="452"/>
      <c r="R39" s="452"/>
      <c r="S39" s="158"/>
    </row>
    <row r="40" spans="1:19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60"/>
      <c r="O40" s="360"/>
      <c r="P40" s="360"/>
      <c r="Q40" s="360"/>
      <c r="R40" s="360"/>
      <c r="S40" s="158"/>
    </row>
    <row r="41" spans="1:19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60"/>
      <c r="O41" s="460"/>
      <c r="P41" s="460"/>
      <c r="Q41" s="460"/>
      <c r="R41" s="460"/>
      <c r="S41" s="158"/>
    </row>
    <row r="42" spans="1:19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60"/>
      <c r="O42" s="460"/>
      <c r="P42" s="460"/>
      <c r="Q42" s="460"/>
      <c r="R42" s="460"/>
      <c r="S42" s="158"/>
    </row>
    <row r="43" spans="1:19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60"/>
      <c r="O43" s="460"/>
      <c r="P43" s="460"/>
      <c r="Q43" s="460"/>
      <c r="R43" s="460"/>
      <c r="S43" s="158"/>
    </row>
    <row r="44" spans="1:19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60"/>
      <c r="O44" s="460"/>
      <c r="P44" s="460"/>
      <c r="Q44" s="460"/>
      <c r="R44" s="460"/>
      <c r="S44" s="158"/>
    </row>
    <row r="45" spans="1:19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60"/>
      <c r="O45" s="460"/>
      <c r="P45" s="460"/>
      <c r="Q45" s="460"/>
      <c r="R45" s="460"/>
      <c r="S45" s="158"/>
    </row>
    <row r="46" spans="1:19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60"/>
      <c r="O46" s="460"/>
      <c r="P46" s="460"/>
      <c r="Q46" s="460"/>
      <c r="R46" s="460"/>
      <c r="S46" s="158"/>
    </row>
    <row r="47" spans="1:19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60"/>
      <c r="O47" s="460"/>
      <c r="P47" s="460"/>
      <c r="Q47" s="460"/>
      <c r="R47" s="460"/>
      <c r="S47" s="158"/>
    </row>
    <row r="48" spans="1:19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60"/>
      <c r="O48" s="460"/>
      <c r="P48" s="460"/>
      <c r="Q48" s="460"/>
      <c r="R48" s="460"/>
      <c r="S48" s="158"/>
    </row>
    <row r="49" spans="1:19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60"/>
      <c r="O49" s="460"/>
      <c r="P49" s="460"/>
      <c r="Q49" s="460"/>
      <c r="R49" s="460"/>
      <c r="S49" s="158"/>
    </row>
    <row r="50" spans="1:19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60"/>
      <c r="O50" s="460"/>
      <c r="P50" s="460"/>
      <c r="Q50" s="460"/>
      <c r="R50" s="460"/>
      <c r="S50" s="158"/>
    </row>
    <row r="51" spans="1:19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60"/>
      <c r="O51" s="460"/>
      <c r="P51" s="460"/>
      <c r="Q51" s="460"/>
      <c r="R51" s="460"/>
      <c r="S51" s="158"/>
    </row>
    <row r="52" spans="1:19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60"/>
      <c r="O52" s="460"/>
      <c r="P52" s="460"/>
      <c r="Q52" s="460"/>
      <c r="R52" s="460"/>
      <c r="S52" s="158"/>
    </row>
    <row r="53" spans="1:19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60"/>
      <c r="O53" s="460"/>
      <c r="P53" s="460"/>
      <c r="Q53" s="460"/>
      <c r="R53" s="460"/>
      <c r="S53" s="158"/>
    </row>
    <row r="54" spans="1:19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60"/>
      <c r="O54" s="460"/>
      <c r="P54" s="460"/>
      <c r="Q54" s="460"/>
      <c r="R54" s="460"/>
      <c r="S54" s="158"/>
    </row>
    <row r="55" spans="1:19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60"/>
      <c r="O55" s="460"/>
      <c r="P55" s="460"/>
      <c r="Q55" s="460"/>
      <c r="R55" s="460"/>
      <c r="S55" s="158"/>
    </row>
    <row r="56" spans="1:19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60"/>
      <c r="O56" s="460"/>
      <c r="P56" s="460"/>
      <c r="Q56" s="460"/>
      <c r="R56" s="460"/>
      <c r="S56" s="158"/>
    </row>
    <row r="57" spans="1:19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60"/>
      <c r="O57" s="460"/>
      <c r="P57" s="460"/>
      <c r="Q57" s="460"/>
      <c r="R57" s="460"/>
      <c r="S57" s="158"/>
    </row>
    <row r="58" spans="1:19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60"/>
      <c r="O58" s="460"/>
      <c r="P58" s="460"/>
      <c r="Q58" s="460"/>
      <c r="R58" s="460"/>
      <c r="S58" s="158"/>
    </row>
    <row r="59" spans="1:19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60"/>
      <c r="O59" s="460"/>
      <c r="P59" s="460"/>
      <c r="Q59" s="460"/>
      <c r="R59" s="460"/>
      <c r="S59" s="158"/>
    </row>
    <row r="60" spans="1:19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60"/>
      <c r="O60" s="460"/>
      <c r="P60" s="460"/>
      <c r="Q60" s="460"/>
      <c r="R60" s="460"/>
      <c r="S60" s="158"/>
    </row>
    <row r="61" spans="1:19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60"/>
      <c r="O61" s="460"/>
      <c r="P61" s="460"/>
      <c r="Q61" s="460"/>
      <c r="R61" s="460"/>
      <c r="S61" s="158"/>
    </row>
    <row r="62" spans="1:19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60"/>
      <c r="O62" s="460"/>
      <c r="P62" s="460"/>
      <c r="Q62" s="460"/>
      <c r="R62" s="460"/>
      <c r="S62" s="158"/>
    </row>
    <row r="63" spans="1:19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60"/>
      <c r="O63" s="460"/>
      <c r="P63" s="460"/>
      <c r="Q63" s="460"/>
      <c r="R63" s="460"/>
      <c r="S63" s="158"/>
    </row>
    <row r="64" spans="1:19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60"/>
      <c r="O64" s="460"/>
      <c r="P64" s="460"/>
      <c r="Q64" s="460"/>
      <c r="R64" s="460"/>
      <c r="S64" s="158"/>
    </row>
    <row r="65" spans="1:25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60"/>
      <c r="O65" s="460"/>
      <c r="P65" s="460"/>
      <c r="Q65" s="460"/>
      <c r="R65" s="460"/>
      <c r="S65" s="158"/>
    </row>
    <row r="66" spans="1:25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7.4200000000000001E-5</v>
      </c>
      <c r="M66" s="451"/>
      <c r="N66" s="452"/>
      <c r="O66" s="452"/>
      <c r="P66" s="452"/>
      <c r="Q66" s="452"/>
      <c r="R66" s="452"/>
      <c r="S66" s="158"/>
    </row>
    <row r="67" spans="1:25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2"/>
      <c r="O67" s="452"/>
      <c r="P67" s="452"/>
      <c r="Q67" s="452"/>
      <c r="R67" s="452"/>
      <c r="S67" s="158"/>
    </row>
    <row r="68" spans="1:25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2"/>
      <c r="O68" s="452"/>
      <c r="P68" s="452"/>
      <c r="Q68" s="452"/>
      <c r="R68" s="452"/>
      <c r="S68" s="158"/>
    </row>
    <row r="69" spans="1:25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2"/>
      <c r="O69" s="452"/>
      <c r="P69" s="452"/>
      <c r="Q69" s="452"/>
      <c r="R69" s="452"/>
      <c r="S69" s="158"/>
    </row>
    <row r="70" spans="1:25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2"/>
      <c r="O70" s="452"/>
      <c r="P70" s="452"/>
      <c r="Q70" s="452"/>
      <c r="R70" s="452"/>
      <c r="S70" s="158"/>
    </row>
    <row r="71" spans="1:25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2"/>
      <c r="O71" s="452"/>
      <c r="P71" s="452"/>
      <c r="Q71" s="452"/>
      <c r="R71" s="452"/>
      <c r="S71" s="158"/>
    </row>
    <row r="72" spans="1:25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2"/>
      <c r="O72" s="452"/>
      <c r="P72" s="452"/>
      <c r="Q72" s="452"/>
      <c r="R72" s="452"/>
      <c r="S72" s="158"/>
    </row>
    <row r="73" spans="1:25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2"/>
      <c r="O73" s="452"/>
      <c r="P73" s="452"/>
      <c r="Q73" s="452"/>
      <c r="R73" s="452"/>
      <c r="S73" s="158"/>
    </row>
    <row r="74" spans="1:25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2.3799999999999998E-8</v>
      </c>
      <c r="M74" s="451"/>
      <c r="N74" s="452"/>
      <c r="O74" s="452"/>
      <c r="P74" s="452"/>
      <c r="Q74" s="452"/>
      <c r="R74" s="452"/>
      <c r="S74" s="158"/>
    </row>
    <row r="75" spans="1:25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1.0700000000000001E-7</v>
      </c>
      <c r="M75" s="451"/>
      <c r="N75" s="452"/>
      <c r="O75" s="452"/>
      <c r="P75" s="452"/>
      <c r="Q75" s="452"/>
      <c r="R75" s="452"/>
      <c r="S75" s="158"/>
    </row>
    <row r="76" spans="1:25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60"/>
      <c r="O76" s="360"/>
      <c r="P76" s="360"/>
      <c r="Q76" s="360"/>
      <c r="R76" s="360"/>
      <c r="S76" s="158"/>
    </row>
    <row r="77" spans="1:25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/>
      <c r="N77" s="614"/>
      <c r="O77" s="614"/>
      <c r="P77" s="614"/>
      <c r="Q77" s="614"/>
      <c r="R77" s="614"/>
      <c r="S77" s="615"/>
      <c r="T77" s="540"/>
      <c r="U77" s="540"/>
      <c r="V77" s="540"/>
      <c r="W77" s="540"/>
      <c r="X77" s="540"/>
      <c r="Y77" s="540"/>
    </row>
    <row r="78" spans="1:25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5"/>
      <c r="O78" s="325"/>
      <c r="P78" s="325"/>
      <c r="Q78" s="325"/>
      <c r="R78" s="325"/>
      <c r="S78" s="158"/>
    </row>
    <row r="79" spans="1:25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5"/>
      <c r="O79" s="325"/>
      <c r="P79" s="325"/>
      <c r="Q79" s="325"/>
      <c r="R79" s="325"/>
      <c r="S79" s="158"/>
    </row>
    <row r="80" spans="1:25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2"/>
      <c r="O80" s="452"/>
      <c r="P80" s="452"/>
      <c r="Q80" s="452"/>
      <c r="R80" s="452"/>
      <c r="S80" s="158"/>
    </row>
    <row r="81" spans="1:19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2"/>
      <c r="O81" s="452"/>
      <c r="P81" s="452"/>
      <c r="Q81" s="452"/>
      <c r="R81" s="452"/>
      <c r="S81" s="158"/>
    </row>
    <row r="82" spans="1:19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2"/>
      <c r="O82" s="452"/>
      <c r="P82" s="452"/>
      <c r="Q82" s="452"/>
      <c r="R82" s="452"/>
      <c r="S82" s="158"/>
    </row>
    <row r="83" spans="1:19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2"/>
      <c r="O83" s="452"/>
      <c r="P83" s="452"/>
      <c r="Q83" s="452"/>
      <c r="R83" s="452"/>
      <c r="S83" s="158"/>
    </row>
    <row r="84" spans="1:19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2"/>
      <c r="O84" s="452"/>
      <c r="P84" s="452"/>
      <c r="Q84" s="452"/>
      <c r="R84" s="452"/>
      <c r="S84" s="158"/>
    </row>
    <row r="85" spans="1:19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2"/>
      <c r="O85" s="452"/>
      <c r="P85" s="452"/>
      <c r="Q85" s="452"/>
      <c r="R85" s="452"/>
      <c r="S85" s="158"/>
    </row>
    <row r="86" spans="1:19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2"/>
      <c r="O86" s="452"/>
      <c r="P86" s="452"/>
      <c r="Q86" s="452"/>
      <c r="R86" s="452"/>
      <c r="S86" s="158"/>
    </row>
    <row r="87" spans="1:19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18"/>
      <c r="O87" s="318"/>
      <c r="P87" s="318"/>
      <c r="Q87" s="318"/>
      <c r="R87" s="318"/>
      <c r="S87" s="158"/>
    </row>
    <row r="88" spans="1:19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2"/>
      <c r="O88" s="452"/>
      <c r="P88" s="452"/>
      <c r="Q88" s="452"/>
      <c r="R88" s="452"/>
      <c r="S88" s="158"/>
    </row>
    <row r="89" spans="1:19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2"/>
      <c r="O89" s="452"/>
      <c r="P89" s="452"/>
      <c r="Q89" s="452"/>
      <c r="R89" s="452"/>
      <c r="S89" s="158"/>
    </row>
    <row r="90" spans="1:19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2"/>
      <c r="O90" s="452"/>
      <c r="P90" s="452"/>
      <c r="Q90" s="452"/>
      <c r="R90" s="452"/>
      <c r="S90" s="158"/>
    </row>
    <row r="91" spans="1:19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2"/>
      <c r="O91" s="452"/>
      <c r="P91" s="452"/>
      <c r="Q91" s="452"/>
      <c r="R91" s="452"/>
      <c r="S91" s="158"/>
    </row>
    <row r="92" spans="1:19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2"/>
      <c r="O92" s="452"/>
      <c r="P92" s="452"/>
      <c r="Q92" s="452"/>
      <c r="R92" s="452"/>
      <c r="S92" s="158"/>
    </row>
    <row r="93" spans="1:19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2"/>
      <c r="O93" s="452"/>
      <c r="P93" s="452"/>
      <c r="Q93" s="452"/>
      <c r="R93" s="452"/>
      <c r="S93" s="158"/>
    </row>
    <row r="94" spans="1:19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2"/>
      <c r="O94" s="452"/>
      <c r="P94" s="452"/>
      <c r="Q94" s="452"/>
      <c r="R94" s="452"/>
      <c r="S94" s="158"/>
    </row>
    <row r="95" spans="1:19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5"/>
      <c r="O95" s="325"/>
      <c r="P95" s="325"/>
      <c r="Q95" s="325"/>
      <c r="R95" s="325"/>
      <c r="S95" s="158"/>
    </row>
    <row r="96" spans="1:19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2"/>
      <c r="O96" s="452"/>
      <c r="P96" s="452"/>
      <c r="Q96" s="452"/>
      <c r="R96" s="452"/>
      <c r="S96" s="158"/>
    </row>
    <row r="97" spans="1:19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2"/>
      <c r="O97" s="452"/>
      <c r="P97" s="452"/>
      <c r="Q97" s="452"/>
      <c r="R97" s="452"/>
      <c r="S97" s="158"/>
    </row>
    <row r="98" spans="1:19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2"/>
      <c r="O98" s="452"/>
      <c r="P98" s="452"/>
      <c r="Q98" s="452"/>
      <c r="R98" s="452"/>
      <c r="S98" s="158"/>
    </row>
    <row r="99" spans="1:19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5"/>
      <c r="O99" s="325"/>
      <c r="P99" s="325"/>
      <c r="Q99" s="325"/>
      <c r="R99" s="325"/>
      <c r="S99" s="158"/>
    </row>
    <row r="100" spans="1:19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2"/>
      <c r="O100" s="452"/>
      <c r="P100" s="452"/>
      <c r="Q100" s="452"/>
      <c r="R100" s="452"/>
      <c r="S100" s="158"/>
    </row>
    <row r="101" spans="1:19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2"/>
      <c r="O101" s="452"/>
      <c r="P101" s="452"/>
      <c r="Q101" s="452"/>
      <c r="R101" s="452"/>
      <c r="S101" s="158"/>
    </row>
    <row r="102" spans="1:19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2"/>
      <c r="O102" s="452"/>
      <c r="P102" s="452"/>
      <c r="Q102" s="452"/>
      <c r="R102" s="452"/>
      <c r="S102" s="158"/>
    </row>
    <row r="103" spans="1:19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5"/>
      <c r="O103" s="325"/>
      <c r="P103" s="325"/>
      <c r="Q103" s="325"/>
      <c r="R103" s="325"/>
      <c r="S103" s="158"/>
    </row>
    <row r="104" spans="1:19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2"/>
      <c r="O104" s="452"/>
      <c r="P104" s="452"/>
      <c r="Q104" s="452"/>
      <c r="R104" s="452"/>
      <c r="S104" s="158"/>
    </row>
    <row r="105" spans="1:19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2"/>
      <c r="O105" s="452"/>
      <c r="P105" s="452"/>
      <c r="Q105" s="452"/>
      <c r="R105" s="452"/>
      <c r="S105" s="158"/>
    </row>
    <row r="106" spans="1:19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2"/>
      <c r="O106" s="452"/>
      <c r="P106" s="452"/>
      <c r="Q106" s="452"/>
      <c r="R106" s="452"/>
      <c r="S106" s="158"/>
    </row>
    <row r="107" spans="1:19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5"/>
      <c r="O107" s="325"/>
      <c r="P107" s="325"/>
      <c r="Q107" s="325"/>
      <c r="R107" s="325"/>
      <c r="S107" s="158"/>
    </row>
    <row r="108" spans="1:19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461"/>
      <c r="N108" s="462"/>
      <c r="O108" s="462"/>
      <c r="P108" s="462"/>
      <c r="Q108" s="462"/>
      <c r="R108" s="462"/>
      <c r="S108" s="158"/>
    </row>
    <row r="109" spans="1:19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5"/>
      <c r="O109" s="325"/>
      <c r="P109" s="325"/>
      <c r="Q109" s="325"/>
      <c r="R109" s="325"/>
      <c r="S109" s="158"/>
    </row>
    <row r="110" spans="1:19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282"/>
      <c r="O110" s="282"/>
      <c r="P110" s="282"/>
      <c r="Q110" s="282"/>
      <c r="R110" s="282"/>
      <c r="S110" s="158"/>
    </row>
    <row r="111" spans="1:19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2"/>
      <c r="O111" s="452"/>
      <c r="P111" s="452"/>
      <c r="Q111" s="452"/>
      <c r="R111" s="452"/>
      <c r="S111" s="158"/>
    </row>
    <row r="112" spans="1:19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2"/>
      <c r="O112" s="452"/>
      <c r="P112" s="452"/>
      <c r="Q112" s="452"/>
      <c r="R112" s="452"/>
      <c r="S112" s="158"/>
    </row>
    <row r="113" spans="1:19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>
        <v>9.9999999999999995E-21</v>
      </c>
      <c r="N113" s="452"/>
      <c r="O113" s="452">
        <v>9.9999999999999995E-21</v>
      </c>
      <c r="P113" s="452">
        <v>9.9999999999999995E-21</v>
      </c>
      <c r="Q113" s="452">
        <v>9.9999999999999995E-21</v>
      </c>
      <c r="R113" s="452">
        <v>9.9999999999999995E-21</v>
      </c>
      <c r="S113" s="158"/>
    </row>
    <row r="114" spans="1:19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>
        <v>0.03</v>
      </c>
      <c r="N114" s="452"/>
      <c r="O114" s="452">
        <v>0.03</v>
      </c>
      <c r="P114" s="452">
        <v>0.03</v>
      </c>
      <c r="Q114" s="452">
        <v>0.03</v>
      </c>
      <c r="R114" s="452">
        <v>0.03</v>
      </c>
      <c r="S114" s="158"/>
    </row>
    <row r="115" spans="1:19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2"/>
      <c r="O115" s="452"/>
      <c r="P115" s="452"/>
      <c r="Q115" s="452"/>
      <c r="R115" s="452"/>
      <c r="S115" s="158"/>
    </row>
    <row r="116" spans="1:19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2"/>
      <c r="O116" s="452"/>
      <c r="P116" s="452"/>
      <c r="Q116" s="452"/>
      <c r="R116" s="452"/>
      <c r="S116" s="158"/>
    </row>
    <row r="117" spans="1:19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2"/>
      <c r="O117" s="452"/>
      <c r="P117" s="452"/>
      <c r="Q117" s="452"/>
      <c r="R117" s="452"/>
      <c r="S117" s="158"/>
    </row>
    <row r="118" spans="1:19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2"/>
      <c r="O118" s="452"/>
      <c r="P118" s="452"/>
      <c r="Q118" s="452"/>
      <c r="R118" s="452"/>
      <c r="S118" s="158"/>
    </row>
    <row r="119" spans="1:19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2"/>
      <c r="O119" s="452"/>
      <c r="P119" s="452"/>
      <c r="Q119" s="452"/>
      <c r="R119" s="452"/>
      <c r="S119" s="158"/>
    </row>
    <row r="120" spans="1:19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2"/>
      <c r="O120" s="452"/>
      <c r="P120" s="452"/>
      <c r="Q120" s="452"/>
      <c r="R120" s="452"/>
      <c r="S120" s="158"/>
    </row>
    <row r="121" spans="1:19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2"/>
      <c r="O121" s="452"/>
      <c r="P121" s="452"/>
      <c r="Q121" s="452"/>
      <c r="R121" s="452"/>
      <c r="S121" s="158"/>
    </row>
    <row r="122" spans="1:19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2"/>
      <c r="O122" s="452"/>
      <c r="P122" s="452"/>
      <c r="Q122" s="452"/>
      <c r="R122" s="452"/>
      <c r="S122" s="158"/>
    </row>
    <row r="123" spans="1:19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2"/>
      <c r="O123" s="452"/>
      <c r="P123" s="452"/>
      <c r="Q123" s="452"/>
      <c r="R123" s="452"/>
      <c r="S123" s="158"/>
    </row>
    <row r="124" spans="1:19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2"/>
      <c r="O124" s="452"/>
      <c r="P124" s="452"/>
      <c r="Q124" s="452"/>
      <c r="R124" s="452"/>
      <c r="S124" s="158"/>
    </row>
    <row r="125" spans="1:19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2"/>
      <c r="O125" s="452"/>
      <c r="P125" s="452"/>
      <c r="Q125" s="452"/>
      <c r="R125" s="452"/>
      <c r="S125" s="158"/>
    </row>
    <row r="126" spans="1:19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2"/>
      <c r="O126" s="452"/>
      <c r="P126" s="452"/>
      <c r="Q126" s="452"/>
      <c r="R126" s="452"/>
      <c r="S126" s="158"/>
    </row>
    <row r="127" spans="1:19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452"/>
      <c r="O127" s="282"/>
      <c r="P127" s="282"/>
      <c r="Q127" s="282"/>
      <c r="R127" s="282"/>
      <c r="S127" s="158"/>
    </row>
    <row r="128" spans="1:19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452"/>
      <c r="O128" s="282"/>
      <c r="P128" s="282"/>
      <c r="Q128" s="282"/>
      <c r="R128" s="282"/>
      <c r="S128" s="158"/>
    </row>
    <row r="129" spans="1:19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2"/>
      <c r="O129" s="452"/>
      <c r="P129" s="452"/>
      <c r="Q129" s="452"/>
      <c r="R129" s="452"/>
      <c r="S129" s="158"/>
    </row>
    <row r="130" spans="1:19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2"/>
      <c r="O130" s="452"/>
      <c r="P130" s="452"/>
      <c r="Q130" s="452"/>
      <c r="R130" s="452"/>
      <c r="S130" s="158"/>
    </row>
    <row r="131" spans="1:19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>
        <v>9.9999999999999995E-21</v>
      </c>
      <c r="N131" s="452"/>
      <c r="O131" s="452">
        <v>9.9999999999999995E-21</v>
      </c>
      <c r="P131" s="452">
        <v>9.9999999999999995E-21</v>
      </c>
      <c r="Q131" s="452">
        <v>9.9999999999999995E-21</v>
      </c>
      <c r="R131" s="452">
        <v>9.9999999999999995E-21</v>
      </c>
      <c r="S131" s="158"/>
    </row>
    <row r="132" spans="1:19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>
        <v>0.03</v>
      </c>
      <c r="N132" s="452"/>
      <c r="O132" s="452">
        <v>0.03</v>
      </c>
      <c r="P132" s="452">
        <v>0.03</v>
      </c>
      <c r="Q132" s="452">
        <v>0.03</v>
      </c>
      <c r="R132" s="452">
        <v>0.03</v>
      </c>
      <c r="S132" s="158"/>
    </row>
    <row r="133" spans="1:19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2"/>
      <c r="O133" s="452"/>
      <c r="P133" s="452"/>
      <c r="Q133" s="452"/>
      <c r="R133" s="452"/>
      <c r="S133" s="158"/>
    </row>
    <row r="134" spans="1:19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2"/>
      <c r="O134" s="452"/>
      <c r="P134" s="452"/>
      <c r="Q134" s="452"/>
      <c r="R134" s="452"/>
      <c r="S134" s="158"/>
    </row>
    <row r="135" spans="1:19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2"/>
      <c r="O135" s="452"/>
      <c r="P135" s="452"/>
      <c r="Q135" s="452"/>
      <c r="R135" s="452"/>
      <c r="S135" s="158"/>
    </row>
    <row r="136" spans="1:19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2"/>
      <c r="O136" s="452"/>
      <c r="P136" s="452"/>
      <c r="Q136" s="452"/>
      <c r="R136" s="452"/>
      <c r="S136" s="158"/>
    </row>
    <row r="137" spans="1:19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2"/>
      <c r="O137" s="452"/>
      <c r="P137" s="452"/>
      <c r="Q137" s="452"/>
      <c r="R137" s="452"/>
      <c r="S137" s="158"/>
    </row>
    <row r="138" spans="1:19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2"/>
      <c r="O138" s="452"/>
      <c r="P138" s="452"/>
      <c r="Q138" s="452"/>
      <c r="R138" s="452"/>
      <c r="S138" s="158"/>
    </row>
    <row r="139" spans="1:19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2"/>
      <c r="O139" s="452"/>
      <c r="P139" s="452"/>
      <c r="Q139" s="452"/>
      <c r="R139" s="452"/>
      <c r="S139" s="158"/>
    </row>
    <row r="140" spans="1:19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2"/>
      <c r="O140" s="452"/>
      <c r="P140" s="452"/>
      <c r="Q140" s="452"/>
      <c r="R140" s="452"/>
      <c r="S140" s="158"/>
    </row>
    <row r="141" spans="1:19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2"/>
      <c r="O141" s="452"/>
      <c r="P141" s="452"/>
      <c r="Q141" s="452"/>
      <c r="R141" s="452"/>
      <c r="S141" s="158"/>
    </row>
    <row r="142" spans="1:19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2"/>
      <c r="O142" s="452"/>
      <c r="P142" s="452"/>
      <c r="Q142" s="452"/>
      <c r="R142" s="452"/>
      <c r="S142" s="158"/>
    </row>
    <row r="143" spans="1:19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2"/>
      <c r="O143" s="452"/>
      <c r="P143" s="452"/>
      <c r="Q143" s="452"/>
      <c r="R143" s="452"/>
      <c r="S143" s="158"/>
    </row>
    <row r="144" spans="1:19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2"/>
      <c r="O144" s="452"/>
      <c r="P144" s="452"/>
      <c r="Q144" s="452"/>
      <c r="R144" s="452"/>
      <c r="S144" s="158"/>
    </row>
    <row r="145" spans="1:19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282"/>
      <c r="O145" s="282"/>
      <c r="P145" s="282"/>
      <c r="Q145" s="282"/>
      <c r="R145" s="282"/>
      <c r="S145" s="158"/>
    </row>
    <row r="146" spans="1:19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18"/>
      <c r="O146" s="318"/>
      <c r="P146" s="318"/>
      <c r="Q146" s="318"/>
      <c r="R146" s="318"/>
      <c r="S146" s="158"/>
    </row>
    <row r="147" spans="1:19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2"/>
      <c r="O147" s="452"/>
      <c r="P147" s="452"/>
      <c r="Q147" s="452"/>
      <c r="R147" s="452"/>
      <c r="S147" s="158"/>
    </row>
    <row r="148" spans="1:19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2"/>
      <c r="O148" s="452"/>
      <c r="P148" s="452"/>
      <c r="Q148" s="452"/>
      <c r="R148" s="452"/>
      <c r="S148" s="158"/>
    </row>
    <row r="149" spans="1:19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2"/>
      <c r="O149" s="452"/>
      <c r="P149" s="452"/>
      <c r="Q149" s="452"/>
      <c r="R149" s="452"/>
      <c r="S149" s="158"/>
    </row>
    <row r="150" spans="1:19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2"/>
      <c r="O150" s="452"/>
      <c r="P150" s="452"/>
      <c r="Q150" s="452"/>
      <c r="R150" s="452"/>
      <c r="S150" s="158"/>
    </row>
    <row r="151" spans="1:19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2"/>
      <c r="O151" s="452"/>
      <c r="P151" s="452"/>
      <c r="Q151" s="452"/>
      <c r="R151" s="452"/>
      <c r="S151" s="158"/>
    </row>
    <row r="152" spans="1:19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2"/>
      <c r="O152" s="452"/>
      <c r="P152" s="452"/>
      <c r="Q152" s="452"/>
      <c r="R152" s="452"/>
      <c r="S152" s="158"/>
    </row>
    <row r="153" spans="1:19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2"/>
      <c r="O153" s="452"/>
      <c r="P153" s="452"/>
      <c r="Q153" s="452"/>
      <c r="R153" s="452"/>
      <c r="S153" s="158"/>
    </row>
    <row r="154" spans="1:19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2"/>
      <c r="O154" s="452"/>
      <c r="P154" s="452"/>
      <c r="Q154" s="452"/>
      <c r="R154" s="452"/>
      <c r="S154" s="158"/>
    </row>
    <row r="155" spans="1:19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2"/>
      <c r="O155" s="452"/>
      <c r="P155" s="452"/>
      <c r="Q155" s="452"/>
      <c r="R155" s="452"/>
      <c r="S155" s="158"/>
    </row>
    <row r="156" spans="1:19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2"/>
      <c r="O156" s="452"/>
      <c r="P156" s="452"/>
      <c r="Q156" s="452"/>
      <c r="R156" s="452"/>
      <c r="S156" s="158"/>
    </row>
    <row r="157" spans="1:19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2"/>
      <c r="O157" s="452"/>
      <c r="P157" s="452"/>
      <c r="Q157" s="452"/>
      <c r="R157" s="452"/>
      <c r="S157" s="158"/>
    </row>
    <row r="158" spans="1:19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2"/>
      <c r="O158" s="452"/>
      <c r="P158" s="452"/>
      <c r="Q158" s="452"/>
      <c r="R158" s="452"/>
      <c r="S158" s="158"/>
    </row>
    <row r="159" spans="1:19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463"/>
      <c r="O159" s="463"/>
      <c r="P159" s="463"/>
      <c r="Q159" s="463"/>
      <c r="R159" s="463"/>
      <c r="S159" s="158"/>
    </row>
    <row r="160" spans="1:19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5"/>
      <c r="O160" s="325"/>
      <c r="P160" s="325"/>
      <c r="Q160" s="325"/>
      <c r="R160" s="325"/>
      <c r="S160" s="158"/>
    </row>
    <row r="161" spans="1:19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5"/>
      <c r="O161" s="325"/>
      <c r="P161" s="325"/>
      <c r="Q161" s="325"/>
      <c r="R161" s="325"/>
      <c r="S161" s="158"/>
    </row>
    <row r="162" spans="1:19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5"/>
      <c r="O162" s="325"/>
      <c r="P162" s="325"/>
      <c r="Q162" s="325"/>
      <c r="R162" s="325"/>
      <c r="S162" s="158"/>
    </row>
    <row r="163" spans="1:19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5"/>
      <c r="O163" s="465"/>
      <c r="P163" s="465"/>
      <c r="Q163" s="465"/>
      <c r="R163" s="465"/>
      <c r="S163" s="158"/>
    </row>
    <row r="164" spans="1:19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7"/>
      <c r="O164" s="467"/>
      <c r="P164" s="467"/>
      <c r="Q164" s="467"/>
      <c r="R164" s="467"/>
      <c r="S164" s="158"/>
    </row>
    <row r="165" spans="1:19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51"/>
      <c r="N165" s="452"/>
      <c r="O165" s="452"/>
      <c r="P165" s="452"/>
      <c r="Q165" s="452"/>
      <c r="R165" s="452"/>
      <c r="S165" s="158"/>
    </row>
    <row r="166" spans="1:19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51"/>
      <c r="N166" s="452"/>
      <c r="O166" s="452"/>
      <c r="P166" s="452"/>
      <c r="Q166" s="452"/>
      <c r="R166" s="452"/>
      <c r="S166" s="158"/>
    </row>
    <row r="167" spans="1:19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51"/>
      <c r="N167" s="452"/>
      <c r="O167" s="452"/>
      <c r="P167" s="452"/>
      <c r="Q167" s="452"/>
      <c r="R167" s="452"/>
      <c r="S167" s="158"/>
    </row>
    <row r="168" spans="1:19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51"/>
      <c r="N168" s="452"/>
      <c r="O168" s="452"/>
      <c r="P168" s="452"/>
      <c r="Q168" s="452"/>
      <c r="R168" s="452"/>
      <c r="S168" s="158"/>
    </row>
    <row r="169" spans="1:19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51"/>
      <c r="N169" s="452"/>
      <c r="O169" s="452"/>
      <c r="P169" s="452"/>
      <c r="Q169" s="452"/>
      <c r="R169" s="452"/>
      <c r="S169" s="158"/>
    </row>
    <row r="170" spans="1:19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51"/>
      <c r="N170" s="452"/>
      <c r="O170" s="452"/>
      <c r="P170" s="452"/>
      <c r="Q170" s="452"/>
      <c r="R170" s="452"/>
      <c r="S170" s="158"/>
    </row>
    <row r="171" spans="1:19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51"/>
      <c r="N171" s="452"/>
      <c r="O171" s="452"/>
      <c r="P171" s="452"/>
      <c r="Q171" s="452"/>
      <c r="R171" s="452"/>
      <c r="S171" s="158"/>
    </row>
    <row r="172" spans="1:19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51"/>
      <c r="N172" s="452"/>
      <c r="O172" s="452"/>
      <c r="P172" s="452"/>
      <c r="Q172" s="452"/>
      <c r="R172" s="452"/>
      <c r="S172" s="158"/>
    </row>
    <row r="173" spans="1:19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51"/>
      <c r="N173" s="452"/>
      <c r="O173" s="452"/>
      <c r="P173" s="452"/>
      <c r="Q173" s="452"/>
      <c r="R173" s="452"/>
      <c r="S173" s="158"/>
    </row>
    <row r="174" spans="1:19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51"/>
      <c r="N174" s="452"/>
      <c r="O174" s="452"/>
      <c r="P174" s="452"/>
      <c r="Q174" s="452"/>
      <c r="R174" s="452"/>
      <c r="S174" s="158"/>
    </row>
    <row r="175" spans="1:19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51"/>
      <c r="N175" s="452"/>
      <c r="O175" s="452"/>
      <c r="P175" s="452"/>
      <c r="Q175" s="452"/>
      <c r="R175" s="452"/>
      <c r="S175" s="158"/>
    </row>
    <row r="176" spans="1:19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51"/>
      <c r="N176" s="452"/>
      <c r="O176" s="452"/>
      <c r="P176" s="452"/>
      <c r="Q176" s="452"/>
      <c r="R176" s="452"/>
      <c r="S176" s="158"/>
    </row>
    <row r="177" spans="1:19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51"/>
      <c r="N177" s="452"/>
      <c r="O177" s="452"/>
      <c r="P177" s="452"/>
      <c r="Q177" s="452"/>
      <c r="R177" s="452"/>
      <c r="S177" s="158"/>
    </row>
    <row r="178" spans="1:19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51"/>
      <c r="N178" s="452"/>
      <c r="O178" s="452"/>
      <c r="P178" s="452"/>
      <c r="Q178" s="452"/>
      <c r="R178" s="452"/>
      <c r="S178" s="158"/>
    </row>
    <row r="179" spans="1:19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51"/>
      <c r="N179" s="452"/>
      <c r="O179" s="452"/>
      <c r="P179" s="452"/>
      <c r="Q179" s="452"/>
      <c r="R179" s="452"/>
      <c r="S179" s="158"/>
    </row>
    <row r="180" spans="1:19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51"/>
      <c r="N180" s="452"/>
      <c r="O180" s="452"/>
      <c r="P180" s="452"/>
      <c r="Q180" s="452"/>
      <c r="R180" s="452"/>
      <c r="S180" s="158"/>
    </row>
    <row r="181" spans="1:19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51"/>
      <c r="N181" s="452"/>
      <c r="O181" s="452"/>
      <c r="P181" s="452"/>
      <c r="Q181" s="452"/>
      <c r="R181" s="452"/>
      <c r="S181" s="158"/>
    </row>
    <row r="182" spans="1:19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51"/>
      <c r="N182" s="452"/>
      <c r="O182" s="452"/>
      <c r="P182" s="452"/>
      <c r="Q182" s="452"/>
      <c r="R182" s="452"/>
      <c r="S182" s="158"/>
    </row>
    <row r="183" spans="1:19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51"/>
      <c r="N183" s="452"/>
      <c r="O183" s="452"/>
      <c r="P183" s="452"/>
      <c r="Q183" s="452"/>
      <c r="R183" s="452"/>
      <c r="S183" s="158"/>
    </row>
    <row r="184" spans="1:19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51"/>
      <c r="N184" s="452"/>
      <c r="O184" s="452"/>
      <c r="P184" s="452"/>
      <c r="Q184" s="452"/>
      <c r="R184" s="452"/>
      <c r="S184" s="158"/>
    </row>
    <row r="185" spans="1:19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51"/>
      <c r="N185" s="452"/>
      <c r="O185" s="452"/>
      <c r="P185" s="452"/>
      <c r="Q185" s="452"/>
      <c r="R185" s="452"/>
      <c r="S185" s="158"/>
    </row>
    <row r="186" spans="1:19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51"/>
      <c r="N186" s="452"/>
      <c r="O186" s="452"/>
      <c r="P186" s="452"/>
      <c r="Q186" s="452"/>
      <c r="R186" s="452"/>
      <c r="S186" s="158"/>
    </row>
    <row r="187" spans="1:19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51"/>
      <c r="N187" s="452"/>
      <c r="O187" s="452"/>
      <c r="P187" s="452"/>
      <c r="Q187" s="452"/>
      <c r="R187" s="452"/>
      <c r="S187" s="158"/>
    </row>
    <row r="188" spans="1:19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51"/>
      <c r="N188" s="452"/>
      <c r="O188" s="452"/>
      <c r="P188" s="452"/>
      <c r="Q188" s="452"/>
      <c r="R188" s="452"/>
      <c r="S188" s="158"/>
    </row>
    <row r="189" spans="1:19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51"/>
      <c r="N189" s="452"/>
      <c r="O189" s="452"/>
      <c r="P189" s="452"/>
      <c r="Q189" s="452"/>
      <c r="R189" s="452"/>
      <c r="S189" s="158"/>
    </row>
    <row r="190" spans="1:19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51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/>
      <c r="S190" s="158"/>
    </row>
    <row r="191" spans="1:19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51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/>
      <c r="S191" s="158"/>
    </row>
    <row r="192" spans="1:19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51"/>
      <c r="N192" s="452"/>
      <c r="O192" s="452"/>
      <c r="P192" s="452"/>
      <c r="Q192" s="452"/>
      <c r="R192" s="452"/>
      <c r="S192" s="158"/>
    </row>
    <row r="193" spans="1:19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51"/>
      <c r="N193" s="452"/>
      <c r="O193" s="452"/>
      <c r="P193" s="452"/>
      <c r="Q193" s="452"/>
      <c r="R193" s="452"/>
      <c r="S193" s="158"/>
    </row>
    <row r="194" spans="1:19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51"/>
      <c r="N194" s="452"/>
      <c r="O194" s="452"/>
      <c r="P194" s="452"/>
      <c r="Q194" s="452"/>
      <c r="R194" s="452"/>
      <c r="S194" s="158"/>
    </row>
    <row r="195" spans="1:19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51"/>
      <c r="N195" s="452"/>
      <c r="O195" s="452"/>
      <c r="P195" s="452"/>
      <c r="Q195" s="452"/>
      <c r="R195" s="452"/>
      <c r="S195" s="158"/>
    </row>
    <row r="196" spans="1:19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51"/>
      <c r="N196" s="452"/>
      <c r="O196" s="452"/>
      <c r="P196" s="452"/>
      <c r="Q196" s="452"/>
      <c r="R196" s="452"/>
      <c r="S196" s="158"/>
    </row>
    <row r="197" spans="1:19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51"/>
      <c r="N197" s="452"/>
      <c r="O197" s="452"/>
      <c r="P197" s="452"/>
      <c r="Q197" s="452"/>
      <c r="R197" s="452"/>
      <c r="S197" s="158"/>
    </row>
    <row r="198" spans="1:19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51"/>
      <c r="N198" s="452"/>
      <c r="O198" s="452"/>
      <c r="P198" s="452"/>
      <c r="Q198" s="452"/>
      <c r="R198" s="452"/>
      <c r="S198" s="158"/>
    </row>
    <row r="199" spans="1:19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51"/>
      <c r="N199" s="452"/>
      <c r="O199" s="452"/>
      <c r="P199" s="452"/>
      <c r="Q199" s="452"/>
      <c r="R199" s="452"/>
      <c r="S199" s="158"/>
    </row>
    <row r="200" spans="1:19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51"/>
      <c r="N200" s="452"/>
      <c r="O200" s="452"/>
      <c r="P200" s="452"/>
      <c r="Q200" s="452"/>
      <c r="R200" s="452"/>
      <c r="S200" s="158"/>
    </row>
    <row r="201" spans="1:19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51"/>
      <c r="N201" s="452"/>
      <c r="O201" s="452"/>
      <c r="P201" s="452"/>
      <c r="Q201" s="452"/>
      <c r="R201" s="452"/>
      <c r="S201" s="158"/>
    </row>
    <row r="202" spans="1:19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51"/>
      <c r="N202" s="452"/>
      <c r="O202" s="452"/>
      <c r="P202" s="452"/>
      <c r="Q202" s="452"/>
      <c r="R202" s="452"/>
      <c r="S202" s="158"/>
    </row>
    <row r="203" spans="1:19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451"/>
      <c r="N203" s="325"/>
      <c r="O203" s="325"/>
      <c r="P203" s="325"/>
      <c r="Q203" s="325"/>
      <c r="R203" s="325"/>
      <c r="S203" s="158"/>
    </row>
    <row r="204" spans="1:19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51"/>
      <c r="N204" s="452"/>
      <c r="O204" s="452"/>
      <c r="P204" s="452"/>
      <c r="Q204" s="452"/>
      <c r="R204" s="452"/>
      <c r="S204" s="158"/>
    </row>
    <row r="205" spans="1:19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51"/>
      <c r="N205" s="452"/>
      <c r="O205" s="452"/>
      <c r="P205" s="452"/>
      <c r="Q205" s="452"/>
      <c r="R205" s="452"/>
      <c r="S205" s="158"/>
    </row>
    <row r="206" spans="1:19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5"/>
      <c r="O206" s="325"/>
      <c r="P206" s="325"/>
      <c r="Q206" s="325"/>
      <c r="R206" s="325"/>
      <c r="S206" s="158"/>
    </row>
    <row r="207" spans="1:19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51"/>
      <c r="N207" s="469"/>
      <c r="O207" s="469"/>
      <c r="P207" s="469"/>
      <c r="Q207" s="469"/>
      <c r="R207" s="469"/>
      <c r="S207" s="158"/>
    </row>
    <row r="208" spans="1:19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51"/>
      <c r="N208" s="469"/>
      <c r="O208" s="469"/>
      <c r="P208" s="469"/>
      <c r="Q208" s="469"/>
      <c r="R208" s="469"/>
      <c r="S208" s="158"/>
    </row>
    <row r="209" spans="1:19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51"/>
      <c r="N209" s="469"/>
      <c r="O209" s="469"/>
      <c r="P209" s="469"/>
      <c r="Q209" s="469"/>
      <c r="R209" s="469"/>
      <c r="S209" s="158"/>
    </row>
    <row r="210" spans="1:19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51"/>
      <c r="N210" s="469"/>
      <c r="O210" s="469"/>
      <c r="P210" s="469"/>
      <c r="Q210" s="469"/>
      <c r="R210" s="469"/>
      <c r="S210" s="158"/>
    </row>
    <row r="211" spans="1:19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51"/>
      <c r="N211" s="452"/>
      <c r="O211" s="452"/>
      <c r="P211" s="452"/>
      <c r="Q211" s="452"/>
      <c r="R211" s="452"/>
      <c r="S211" s="158"/>
    </row>
    <row r="212" spans="1:19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51"/>
      <c r="N212" s="452"/>
      <c r="O212" s="452"/>
      <c r="P212" s="452"/>
      <c r="Q212" s="452"/>
      <c r="R212" s="452"/>
      <c r="S212" s="158"/>
    </row>
    <row r="213" spans="1:19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51"/>
      <c r="N213" s="452"/>
      <c r="O213" s="452"/>
      <c r="P213" s="452"/>
      <c r="Q213" s="452"/>
      <c r="R213" s="452"/>
      <c r="S213" s="158"/>
    </row>
    <row r="214" spans="1:19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51"/>
      <c r="N214" s="452"/>
      <c r="O214" s="452"/>
      <c r="P214" s="452"/>
      <c r="Q214" s="452"/>
      <c r="R214" s="452"/>
      <c r="S214" s="158"/>
    </row>
    <row r="215" spans="1:19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51"/>
      <c r="N215" s="452"/>
      <c r="O215" s="452"/>
      <c r="P215" s="452"/>
      <c r="Q215" s="452"/>
      <c r="R215" s="452"/>
      <c r="S215" s="158"/>
    </row>
    <row r="216" spans="1:19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51"/>
      <c r="N216" s="452"/>
      <c r="O216" s="452"/>
      <c r="P216" s="452"/>
      <c r="Q216" s="452"/>
      <c r="R216" s="452"/>
      <c r="S216" s="158"/>
    </row>
    <row r="217" spans="1:19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282"/>
      <c r="O217" s="282"/>
      <c r="P217" s="282"/>
      <c r="Q217" s="282"/>
      <c r="R217" s="282"/>
      <c r="S217" s="158"/>
    </row>
    <row r="218" spans="1:19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/>
      <c r="N218" s="470"/>
      <c r="O218" s="470"/>
      <c r="P218" s="470"/>
      <c r="Q218" s="470"/>
      <c r="R218" s="470"/>
      <c r="S218" s="158"/>
    </row>
    <row r="219" spans="1:19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5"/>
      <c r="O219" s="325"/>
      <c r="P219" s="325"/>
      <c r="Q219" s="325"/>
      <c r="R219" s="325"/>
      <c r="S219" s="158"/>
    </row>
    <row r="220" spans="1:19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51">
        <f t="shared" ref="M220:Q220" si="0">1-(0.00015*0.172)/((IF(Tm&gt;298,EXP(-6.79*(1-Tm/298))*Pvap25*EXP((H0vap/8.314)*(1/298-1/TEMP.R)),Pvap25*EXP((H0vap/8.314)*(1/298-1/TEMP.R))))+(0.00015*0.172))</f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>
        <f t="shared" si="0"/>
        <v>0.99692071229307011</v>
      </c>
      <c r="R220" s="452"/>
      <c r="S220" s="158"/>
    </row>
    <row r="221" spans="1:19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51"/>
      <c r="N221" s="452"/>
      <c r="O221" s="452"/>
      <c r="P221" s="452"/>
      <c r="Q221" s="452"/>
      <c r="R221" s="452"/>
      <c r="S221" s="158"/>
    </row>
    <row r="222" spans="1:19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51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>
        <f>(0.00015*0.172)/((IF(Tm&gt;298,EXP(-6.79*(1-Tm/298))*Pvap25*EXP((H0vap/8.314)*(1/298-1/TEMP.R)),Pvap25*EXP((H0vap/8.314)*(1/298-1/TEMP.R))))+(0.00015*0.172))</f>
        <v>3.0792877069299326E-3</v>
      </c>
      <c r="R222" s="452"/>
      <c r="S222" s="158"/>
    </row>
    <row r="223" spans="1:19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51"/>
      <c r="N223" s="452"/>
      <c r="O223" s="452"/>
      <c r="P223" s="452"/>
      <c r="Q223" s="452"/>
      <c r="R223" s="452"/>
      <c r="S223" s="158"/>
    </row>
    <row r="224" spans="1:19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51"/>
      <c r="N224" s="452"/>
      <c r="O224" s="452"/>
      <c r="P224" s="452"/>
      <c r="Q224" s="452"/>
      <c r="R224" s="452"/>
      <c r="S224" s="158"/>
    </row>
    <row r="225" spans="1:19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51"/>
      <c r="N225" s="452"/>
      <c r="O225" s="452"/>
      <c r="P225" s="452"/>
      <c r="Q225" s="452"/>
      <c r="R225" s="452"/>
      <c r="S225" s="158"/>
    </row>
    <row r="226" spans="1:19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51">
        <f t="shared" ref="M226:Q226" si="1">1/(1+Kp.susp0R*SUSP.w0R/1000+0.05*Kow*0.001/1000)</f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>
        <f t="shared" si="1"/>
        <v>0.43746391672203505</v>
      </c>
      <c r="R226" s="452"/>
      <c r="S226" s="158"/>
    </row>
    <row r="227" spans="1:19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51"/>
      <c r="N227" s="452"/>
      <c r="O227" s="452"/>
      <c r="P227" s="452"/>
      <c r="Q227" s="452"/>
      <c r="R227" s="452"/>
      <c r="S227" s="158"/>
    </row>
    <row r="228" spans="1:19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51"/>
      <c r="N228" s="452"/>
      <c r="O228" s="452"/>
      <c r="P228" s="452"/>
      <c r="Q228" s="452"/>
      <c r="R228" s="452"/>
      <c r="S228" s="158"/>
    </row>
    <row r="229" spans="1:19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51"/>
      <c r="N229" s="452"/>
      <c r="O229" s="452"/>
      <c r="P229" s="452"/>
      <c r="Q229" s="452"/>
      <c r="R229" s="452"/>
      <c r="S229" s="158"/>
    </row>
    <row r="230" spans="1:19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51"/>
      <c r="N230" s="452"/>
      <c r="O230" s="452"/>
      <c r="P230" s="452"/>
      <c r="Q230" s="452"/>
      <c r="R230" s="452"/>
      <c r="S230" s="158"/>
    </row>
    <row r="231" spans="1:19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51"/>
      <c r="N231" s="452"/>
      <c r="O231" s="452"/>
      <c r="P231" s="452"/>
      <c r="Q231" s="452"/>
      <c r="R231" s="452"/>
      <c r="S231" s="158"/>
    </row>
    <row r="232" spans="1:19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51">
        <f t="shared" ref="M232:Q232" si="2">1/(1+Kp.susp1R*SUSP.w1R/1000+0.05*Kow*0.001/1000)</f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>
        <f t="shared" si="2"/>
        <v>0.43358634598646467</v>
      </c>
      <c r="R232" s="452"/>
      <c r="S232" s="158"/>
    </row>
    <row r="233" spans="1:19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51"/>
      <c r="N233" s="452"/>
      <c r="O233" s="452"/>
      <c r="P233" s="452"/>
      <c r="Q233" s="452"/>
      <c r="R233" s="452"/>
      <c r="S233" s="158"/>
    </row>
    <row r="234" spans="1:19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51"/>
      <c r="N234" s="452"/>
      <c r="O234" s="452"/>
      <c r="P234" s="452"/>
      <c r="Q234" s="452"/>
      <c r="R234" s="452"/>
      <c r="S234" s="158"/>
    </row>
    <row r="235" spans="1:19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51"/>
      <c r="N235" s="452"/>
      <c r="O235" s="452"/>
      <c r="P235" s="452"/>
      <c r="Q235" s="452"/>
      <c r="R235" s="452"/>
      <c r="S235" s="158"/>
    </row>
    <row r="236" spans="1:19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51"/>
      <c r="N236" s="452"/>
      <c r="O236" s="452"/>
      <c r="P236" s="452"/>
      <c r="Q236" s="452"/>
      <c r="R236" s="452"/>
      <c r="S236" s="158"/>
    </row>
    <row r="237" spans="1:19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51"/>
      <c r="N237" s="452"/>
      <c r="O237" s="452"/>
      <c r="P237" s="452"/>
      <c r="Q237" s="452"/>
      <c r="R237" s="452"/>
      <c r="S237" s="158"/>
    </row>
    <row r="238" spans="1:19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51">
        <f t="shared" ref="M238:Q238" si="3">1/(1+Kp.susp2R*SUSP.w2R/1000+0.05*Kow*0.001/1000)</f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>
        <f t="shared" si="3"/>
        <v>0.43523010511689086</v>
      </c>
      <c r="R238" s="452"/>
      <c r="S238" s="158"/>
    </row>
    <row r="239" spans="1:19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51"/>
      <c r="N239" s="452"/>
      <c r="O239" s="452"/>
      <c r="P239" s="452"/>
      <c r="Q239" s="452"/>
      <c r="R239" s="452"/>
      <c r="S239" s="158"/>
    </row>
    <row r="240" spans="1:19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51"/>
      <c r="N240" s="452"/>
      <c r="O240" s="452"/>
      <c r="P240" s="452"/>
      <c r="Q240" s="452"/>
      <c r="R240" s="452"/>
      <c r="S240" s="158"/>
    </row>
    <row r="241" spans="1:19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51"/>
      <c r="N241" s="452"/>
      <c r="O241" s="452"/>
      <c r="P241" s="452"/>
      <c r="Q241" s="452"/>
      <c r="R241" s="452"/>
      <c r="S241" s="158"/>
    </row>
    <row r="242" spans="1:19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51"/>
      <c r="N242" s="452"/>
      <c r="O242" s="452"/>
      <c r="P242" s="452"/>
      <c r="Q242" s="452"/>
      <c r="R242" s="452"/>
      <c r="S242" s="158"/>
    </row>
    <row r="243" spans="1:19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51"/>
      <c r="N243" s="452"/>
      <c r="O243" s="452"/>
      <c r="P243" s="452"/>
      <c r="Q243" s="452"/>
      <c r="R243" s="452"/>
      <c r="S243" s="158"/>
    </row>
    <row r="244" spans="1:19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51"/>
      <c r="N244" s="452"/>
      <c r="O244" s="452"/>
      <c r="P244" s="452"/>
      <c r="Q244" s="452"/>
      <c r="R244" s="452"/>
      <c r="S244" s="158"/>
    </row>
    <row r="245" spans="1:19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51"/>
      <c r="N245" s="452"/>
      <c r="O245" s="452"/>
      <c r="P245" s="452"/>
      <c r="Q245" s="452"/>
      <c r="R245" s="452"/>
      <c r="S245" s="158"/>
    </row>
    <row r="246" spans="1:19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51"/>
      <c r="N246" s="452"/>
      <c r="O246" s="452"/>
      <c r="P246" s="452"/>
      <c r="Q246" s="452"/>
      <c r="R246" s="452"/>
      <c r="S246" s="158"/>
    </row>
    <row r="247" spans="1:19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51"/>
      <c r="N247" s="452"/>
      <c r="O247" s="452"/>
      <c r="P247" s="452"/>
      <c r="Q247" s="452"/>
      <c r="R247" s="452"/>
      <c r="S247" s="158"/>
    </row>
    <row r="248" spans="1:19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51"/>
      <c r="N248" s="452"/>
      <c r="O248" s="452"/>
      <c r="P248" s="452"/>
      <c r="Q248" s="452"/>
      <c r="R248" s="452"/>
      <c r="S248" s="158"/>
    </row>
    <row r="249" spans="1:19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51"/>
      <c r="N249" s="452"/>
      <c r="O249" s="452"/>
      <c r="P249" s="452"/>
      <c r="Q249" s="452"/>
      <c r="R249" s="452"/>
      <c r="S249" s="158"/>
    </row>
    <row r="250" spans="1:19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51"/>
      <c r="N250" s="452"/>
      <c r="O250" s="452"/>
      <c r="P250" s="452"/>
      <c r="Q250" s="452"/>
      <c r="R250" s="452"/>
      <c r="S250" s="158"/>
    </row>
    <row r="251" spans="1:19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51"/>
      <c r="N251" s="452"/>
      <c r="O251" s="452"/>
      <c r="P251" s="452"/>
      <c r="Q251" s="452"/>
      <c r="R251" s="452"/>
      <c r="S251" s="158"/>
    </row>
    <row r="252" spans="1:19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51"/>
      <c r="N252" s="452"/>
      <c r="O252" s="452"/>
      <c r="P252" s="452"/>
      <c r="Q252" s="452"/>
      <c r="R252" s="452"/>
      <c r="S252" s="158"/>
    </row>
    <row r="253" spans="1:19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51"/>
      <c r="N253" s="452"/>
      <c r="O253" s="452"/>
      <c r="P253" s="452"/>
      <c r="Q253" s="452"/>
      <c r="R253" s="452"/>
      <c r="S253" s="158"/>
    </row>
    <row r="254" spans="1:19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51"/>
      <c r="N254" s="452"/>
      <c r="O254" s="452"/>
      <c r="P254" s="452"/>
      <c r="Q254" s="452"/>
      <c r="R254" s="452"/>
      <c r="S254" s="158"/>
    </row>
    <row r="255" spans="1:19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51"/>
      <c r="N255" s="452"/>
      <c r="O255" s="452"/>
      <c r="P255" s="452"/>
      <c r="Q255" s="452"/>
      <c r="R255" s="452"/>
      <c r="S255" s="158"/>
    </row>
    <row r="256" spans="1:19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51"/>
      <c r="N256" s="452"/>
      <c r="O256" s="452"/>
      <c r="P256" s="452"/>
      <c r="Q256" s="452"/>
      <c r="R256" s="452"/>
      <c r="S256" s="158"/>
    </row>
    <row r="257" spans="1:19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51"/>
      <c r="N257" s="452"/>
      <c r="O257" s="452"/>
      <c r="P257" s="452"/>
      <c r="Q257" s="452"/>
      <c r="R257" s="452"/>
      <c r="S257" s="158"/>
    </row>
    <row r="258" spans="1:19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51"/>
      <c r="N258" s="452"/>
      <c r="O258" s="452"/>
      <c r="P258" s="452"/>
      <c r="Q258" s="452"/>
      <c r="R258" s="452"/>
      <c r="S258" s="158"/>
    </row>
    <row r="259" spans="1:19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51"/>
      <c r="N259" s="452"/>
      <c r="O259" s="452"/>
      <c r="P259" s="452"/>
      <c r="Q259" s="452"/>
      <c r="R259" s="452"/>
      <c r="S259" s="158"/>
    </row>
    <row r="260" spans="1:19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51"/>
      <c r="N260" s="452"/>
      <c r="O260" s="452"/>
      <c r="P260" s="452"/>
      <c r="Q260" s="452"/>
      <c r="R260" s="452"/>
      <c r="S260" s="158"/>
    </row>
    <row r="261" spans="1:19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51"/>
      <c r="N261" s="452"/>
      <c r="O261" s="452"/>
      <c r="P261" s="452"/>
      <c r="Q261" s="452"/>
      <c r="R261" s="452"/>
      <c r="S261" s="158"/>
    </row>
    <row r="262" spans="1:19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51"/>
      <c r="N262" s="452"/>
      <c r="O262" s="452"/>
      <c r="P262" s="452"/>
      <c r="Q262" s="452"/>
      <c r="R262" s="452"/>
      <c r="S262" s="158"/>
    </row>
    <row r="263" spans="1:19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51"/>
      <c r="N263" s="452"/>
      <c r="O263" s="452"/>
      <c r="P263" s="452"/>
      <c r="Q263" s="452"/>
      <c r="R263" s="452"/>
      <c r="S263" s="158"/>
    </row>
    <row r="264" spans="1:19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51"/>
      <c r="N264" s="452"/>
      <c r="O264" s="452"/>
      <c r="P264" s="452"/>
      <c r="Q264" s="452"/>
      <c r="R264" s="452"/>
      <c r="S264" s="158"/>
    </row>
    <row r="265" spans="1:19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282"/>
      <c r="O265" s="282"/>
      <c r="P265" s="282"/>
      <c r="Q265" s="282"/>
      <c r="R265" s="282"/>
      <c r="S265" s="158"/>
    </row>
    <row r="266" spans="1:19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/>
      <c r="N266" s="470"/>
      <c r="O266" s="470"/>
      <c r="P266" s="470"/>
      <c r="Q266" s="470"/>
      <c r="R266" s="470"/>
      <c r="S266" s="158"/>
    </row>
    <row r="267" spans="1:19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282"/>
      <c r="O267" s="282"/>
      <c r="P267" s="282"/>
      <c r="Q267" s="282"/>
      <c r="R267" s="282"/>
      <c r="S267" s="158"/>
    </row>
    <row r="268" spans="1:19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1">
        <f>((DRYDEPaerosol.R+AerosolWashout.R+GasWashout.R+GASABS.aR.wR)/HEIGHT.aR)*AREAFRAC.w0R</f>
        <v>9.4489622939555235E-7</v>
      </c>
      <c r="R268" s="452"/>
      <c r="S268" s="158"/>
    </row>
    <row r="269" spans="1:19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1">
        <f>((DRYDEPaerosol.R+AerosolWashout.R+GasWashout.R+GASABS.aR.wR)/HEIGHT.aR)*AREAFRAC.w1R</f>
        <v>1.0393858523351076E-5</v>
      </c>
      <c r="R269" s="452"/>
      <c r="S269" s="158"/>
    </row>
    <row r="270" spans="1:19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1">
        <f>((DRYDEPaerosol.R+AerosolWashout.R+GasWashout.R+GASABS.aR.wR)/HEIGHT.aR)*AREAFRAC.w2R</f>
        <v>1.6535787363093204E-6</v>
      </c>
      <c r="R270" s="452"/>
      <c r="S270" s="158"/>
    </row>
    <row r="271" spans="1:19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>
        <f>((DRYDEPaerosol.R+AerosolWashout.R+GasWashout.R+GASABS.aR.sR)/HEIGHT.aR)*AREAFRAC.s1R</f>
        <v>1.0210630979387506E-4</v>
      </c>
      <c r="N271" s="451">
        <f>((DRYDEPaerosol.R+AerosolWashout.R+GasWashout.R+GASABS.aR.sR)/HEIGHT.aR)*AREAFRAC.s1R</f>
        <v>1.0210630979387506E-4</v>
      </c>
      <c r="O271" s="451">
        <f>((DRYDEPaerosol.R+AerosolWashout.R+GasWashout.R+GASABS.aR.sR)/HEIGHT.aR)*AREAFRAC.s1R</f>
        <v>1.0210630979387506E-4</v>
      </c>
      <c r="P271" s="451">
        <f>((DRYDEPaerosol.R+AerosolWashout.R+GasWashout.R+GASABS.aR.sR)/HEIGHT.aR)*AREAFRAC.s1R</f>
        <v>1.0210630979387506E-4</v>
      </c>
      <c r="Q271" s="451">
        <f>((DRYDEPaerosol.R+AerosolWashout.R+GasWashout.R+GASABS.aR.sR)/HEIGHT.aR)*AREAFRAC.s1R</f>
        <v>1.0210630979387506E-4</v>
      </c>
      <c r="R271" s="452"/>
      <c r="S271" s="158"/>
    </row>
    <row r="272" spans="1:19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>
        <f>((DRYDEPaerosol.R+AerosolWashout.R+GasWashout.R+GASABS.aR.sR)/HEIGHT.aR)*AREAFRAC.s2R</f>
        <v>2.2690291065305564E-4</v>
      </c>
      <c r="N272" s="451">
        <f>((DRYDEPaerosol.R+AerosolWashout.R+GasWashout.R+GASABS.aR.sR)/HEIGHT.aR)*AREAFRAC.s2R</f>
        <v>2.2690291065305564E-4</v>
      </c>
      <c r="O272" s="451">
        <f>((DRYDEPaerosol.R+AerosolWashout.R+GasWashout.R+GASABS.aR.sR)/HEIGHT.aR)*AREAFRAC.s2R</f>
        <v>2.2690291065305564E-4</v>
      </c>
      <c r="P272" s="451">
        <f>((DRYDEPaerosol.R+AerosolWashout.R+GasWashout.R+GASABS.aR.sR)/HEIGHT.aR)*AREAFRAC.s2R</f>
        <v>2.2690291065305564E-4</v>
      </c>
      <c r="Q272" s="451">
        <f>((DRYDEPaerosol.R+AerosolWashout.R+GasWashout.R+GASABS.aR.sR)/HEIGHT.aR)*AREAFRAC.s2R</f>
        <v>2.2690291065305564E-4</v>
      </c>
      <c r="R272" s="452"/>
      <c r="S272" s="158"/>
    </row>
    <row r="273" spans="1:19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>
        <f>((DRYDEPaerosol.R+AerosolWashout.R+GasWashout.R+GASABS.aR.sR)/HEIGHT.aR)*AREAFRAC.s3R</f>
        <v>3.7817151775509275E-5</v>
      </c>
      <c r="N273" s="451">
        <f>((DRYDEPaerosol.R+AerosolWashout.R+GasWashout.R+GASABS.aR.sR)/HEIGHT.aR)*AREAFRAC.s3R</f>
        <v>3.7817151775509275E-5</v>
      </c>
      <c r="O273" s="451">
        <f>((DRYDEPaerosol.R+AerosolWashout.R+GasWashout.R+GASABS.aR.sR)/HEIGHT.aR)*AREAFRAC.s3R</f>
        <v>3.7817151775509275E-5</v>
      </c>
      <c r="P273" s="451">
        <f>((DRYDEPaerosol.R+AerosolWashout.R+GasWashout.R+GASABS.aR.sR)/HEIGHT.aR)*AREAFRAC.s3R</f>
        <v>3.7817151775509275E-5</v>
      </c>
      <c r="Q273" s="451">
        <f>((DRYDEPaerosol.R+AerosolWashout.R+GasWashout.R+GASABS.aR.sR)/HEIGHT.aR)*AREAFRAC.s3R</f>
        <v>3.7817151775509275E-5</v>
      </c>
      <c r="R273" s="452"/>
      <c r="S273" s="158"/>
    </row>
    <row r="274" spans="1:19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2"/>
      <c r="O274" s="452"/>
      <c r="P274" s="452"/>
      <c r="Q274" s="452"/>
      <c r="R274" s="452"/>
      <c r="S274" s="158"/>
    </row>
    <row r="275" spans="1:19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2"/>
      <c r="O275" s="452"/>
      <c r="P275" s="452"/>
      <c r="Q275" s="452"/>
      <c r="R275" s="452"/>
      <c r="S275" s="158"/>
    </row>
    <row r="276" spans="1:19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2"/>
      <c r="O276" s="452"/>
      <c r="P276" s="452"/>
      <c r="Q276" s="452"/>
      <c r="R276" s="452"/>
      <c r="S276" s="158"/>
    </row>
    <row r="277" spans="1:19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2"/>
      <c r="O277" s="452"/>
      <c r="P277" s="452"/>
      <c r="Q277" s="452"/>
      <c r="R277" s="452"/>
      <c r="S277" s="158"/>
    </row>
    <row r="278" spans="1:19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2"/>
      <c r="O278" s="452"/>
      <c r="P278" s="452"/>
      <c r="Q278" s="452"/>
      <c r="R278" s="452"/>
      <c r="S278" s="158"/>
    </row>
    <row r="279" spans="1:19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2"/>
      <c r="O279" s="452"/>
      <c r="P279" s="452"/>
      <c r="Q279" s="452"/>
      <c r="R279" s="452"/>
      <c r="S279" s="158"/>
    </row>
    <row r="280" spans="1:19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2"/>
      <c r="O280" s="452"/>
      <c r="P280" s="452"/>
      <c r="Q280" s="452"/>
      <c r="R280" s="452"/>
      <c r="S280" s="158"/>
    </row>
    <row r="281" spans="1:19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2"/>
      <c r="O281" s="452"/>
      <c r="P281" s="452"/>
      <c r="Q281" s="452"/>
      <c r="R281" s="452"/>
      <c r="S281" s="158"/>
    </row>
    <row r="282" spans="1:19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2"/>
      <c r="O282" s="452"/>
      <c r="P282" s="452"/>
      <c r="Q282" s="452"/>
      <c r="R282" s="452"/>
      <c r="S282" s="158"/>
    </row>
    <row r="283" spans="1:19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2"/>
      <c r="O283" s="452"/>
      <c r="P283" s="452"/>
      <c r="Q283" s="452"/>
      <c r="R283" s="452"/>
      <c r="S283" s="158"/>
    </row>
    <row r="284" spans="1:19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2"/>
      <c r="O284" s="452"/>
      <c r="P284" s="452"/>
      <c r="Q284" s="452"/>
      <c r="R284" s="452"/>
      <c r="S284" s="158"/>
    </row>
    <row r="285" spans="1:19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2"/>
      <c r="O285" s="452"/>
      <c r="P285" s="452"/>
      <c r="Q285" s="452"/>
      <c r="R285" s="452"/>
      <c r="S285" s="158"/>
    </row>
    <row r="286" spans="1:19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1">
        <f>AEROSOLdeprate.R*FRaers.aR</f>
        <v>1.1874600574371856E-6</v>
      </c>
      <c r="R286" s="452"/>
      <c r="S286" s="158"/>
    </row>
    <row r="287" spans="1:19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>
        <f t="shared" ref="M287:Q287" si="4">(1-FRgas.aR)*COLLECTeff.R*RAINrate.R</f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>
        <f t="shared" si="4"/>
        <v>5.362503239759046E-6</v>
      </c>
      <c r="R287" s="452"/>
      <c r="S287" s="158"/>
    </row>
    <row r="288" spans="1:19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>
        <f t="shared" ref="M288:Q288" si="5">FRgas.aR*RAINrate.R/Kaw.R</f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>
        <f t="shared" si="5"/>
        <v>1.724260961560384E-6</v>
      </c>
      <c r="R288" s="452"/>
      <c r="S288" s="158"/>
    </row>
    <row r="289" spans="1:19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2"/>
      <c r="O289" s="452"/>
      <c r="P289" s="452"/>
      <c r="Q289" s="452"/>
      <c r="R289" s="452"/>
      <c r="S289" s="158"/>
    </row>
    <row r="290" spans="1:19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2"/>
      <c r="O290" s="452"/>
      <c r="P290" s="452"/>
      <c r="Q290" s="452"/>
      <c r="R290" s="452"/>
      <c r="S290" s="158"/>
    </row>
    <row r="291" spans="1:19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2"/>
      <c r="O291" s="452"/>
      <c r="P291" s="452"/>
      <c r="Q291" s="452"/>
      <c r="R291" s="452"/>
      <c r="S291" s="158"/>
    </row>
    <row r="292" spans="1:19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2"/>
      <c r="O292" s="452"/>
      <c r="P292" s="452"/>
      <c r="Q292" s="452"/>
      <c r="R292" s="452"/>
      <c r="S292" s="158"/>
    </row>
    <row r="293" spans="1:19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2"/>
      <c r="O293" s="452"/>
      <c r="P293" s="452"/>
      <c r="Q293" s="452"/>
      <c r="R293" s="452"/>
      <c r="S293" s="158"/>
    </row>
    <row r="294" spans="1:19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2"/>
      <c r="O294" s="452"/>
      <c r="P294" s="452"/>
      <c r="Q294" s="452"/>
      <c r="R294" s="452"/>
      <c r="S294" s="158"/>
    </row>
    <row r="295" spans="1:19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2"/>
      <c r="O295" s="452"/>
      <c r="P295" s="452"/>
      <c r="Q295" s="452"/>
      <c r="R295" s="452"/>
      <c r="S295" s="158"/>
    </row>
    <row r="296" spans="1:19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2"/>
      <c r="O296" s="452"/>
      <c r="P296" s="452"/>
      <c r="Q296" s="452"/>
      <c r="R296" s="452"/>
      <c r="S296" s="158"/>
    </row>
    <row r="297" spans="1:19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2"/>
      <c r="O297" s="452"/>
      <c r="P297" s="452"/>
      <c r="Q297" s="452"/>
      <c r="R297" s="452"/>
      <c r="S297" s="158"/>
    </row>
    <row r="298" spans="1:19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2"/>
      <c r="O298" s="452"/>
      <c r="P298" s="452"/>
      <c r="Q298" s="452"/>
      <c r="R298" s="452"/>
      <c r="S298" s="158"/>
    </row>
    <row r="299" spans="1:19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2"/>
      <c r="O299" s="452"/>
      <c r="P299" s="452"/>
      <c r="Q299" s="452"/>
      <c r="R299" s="452"/>
      <c r="S299" s="158"/>
    </row>
    <row r="300" spans="1:19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2"/>
      <c r="O300" s="452"/>
      <c r="P300" s="452"/>
      <c r="Q300" s="452"/>
      <c r="R300" s="452"/>
      <c r="S300" s="158"/>
    </row>
    <row r="301" spans="1:19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2"/>
      <c r="R301" s="451"/>
      <c r="S301" s="158"/>
    </row>
    <row r="302" spans="1:19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612"/>
      <c r="N302" s="612"/>
      <c r="O302" s="612"/>
      <c r="P302" s="612"/>
      <c r="Q302" s="452"/>
      <c r="R302" s="612"/>
      <c r="S302" s="158"/>
    </row>
    <row r="303" spans="1:19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>
        <v>1</v>
      </c>
      <c r="N303" s="451">
        <v>1</v>
      </c>
      <c r="O303" s="451">
        <v>1</v>
      </c>
      <c r="P303" s="451">
        <v>1</v>
      </c>
      <c r="Q303" s="452"/>
      <c r="R303" s="451">
        <v>1</v>
      </c>
      <c r="S303" s="158"/>
    </row>
    <row r="304" spans="1:19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>
        <v>1</v>
      </c>
      <c r="N304" s="451">
        <v>1</v>
      </c>
      <c r="O304" s="451">
        <v>1</v>
      </c>
      <c r="P304" s="451">
        <v>1</v>
      </c>
      <c r="Q304" s="452"/>
      <c r="R304" s="451">
        <v>1</v>
      </c>
      <c r="S304" s="158"/>
    </row>
    <row r="305" spans="1:19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>
        <v>1</v>
      </c>
      <c r="N305" s="451">
        <v>1</v>
      </c>
      <c r="O305" s="451">
        <v>1</v>
      </c>
      <c r="P305" s="451">
        <v>1</v>
      </c>
      <c r="Q305" s="452"/>
      <c r="R305" s="451">
        <v>1</v>
      </c>
      <c r="S305" s="158"/>
    </row>
    <row r="306" spans="1:19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60"/>
      <c r="O306" s="460"/>
      <c r="P306" s="460"/>
      <c r="Q306" s="460"/>
      <c r="R306" s="460"/>
      <c r="S306" s="158"/>
    </row>
    <row r="307" spans="1:19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2"/>
      <c r="O307" s="452"/>
      <c r="P307" s="452"/>
      <c r="Q307" s="452"/>
      <c r="R307" s="452"/>
      <c r="S307" s="158"/>
    </row>
    <row r="308" spans="1:19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2"/>
      <c r="O308" s="452"/>
      <c r="P308" s="452"/>
      <c r="Q308" s="452"/>
      <c r="R308" s="452"/>
      <c r="S308" s="158"/>
    </row>
    <row r="309" spans="1:19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2"/>
      <c r="O309" s="452"/>
      <c r="P309" s="452"/>
      <c r="Q309" s="452"/>
      <c r="R309" s="452"/>
      <c r="S309" s="158"/>
    </row>
    <row r="310" spans="1:19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2"/>
      <c r="O310" s="452"/>
      <c r="P310" s="452"/>
      <c r="Q310" s="452"/>
      <c r="R310" s="452"/>
      <c r="S310" s="158"/>
    </row>
    <row r="311" spans="1:19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2"/>
      <c r="O311" s="452"/>
      <c r="P311" s="452"/>
      <c r="Q311" s="452"/>
      <c r="R311" s="452"/>
      <c r="S311" s="158"/>
    </row>
    <row r="312" spans="1:19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2"/>
      <c r="O312" s="452"/>
      <c r="P312" s="452"/>
      <c r="Q312" s="452"/>
      <c r="R312" s="452"/>
      <c r="S312" s="158"/>
    </row>
    <row r="313" spans="1:19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2"/>
      <c r="O313" s="452"/>
      <c r="P313" s="452"/>
      <c r="Q313" s="452"/>
      <c r="R313" s="452"/>
      <c r="S313" s="158"/>
    </row>
    <row r="314" spans="1:19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2"/>
      <c r="O314" s="452"/>
      <c r="P314" s="452"/>
      <c r="Q314" s="452"/>
      <c r="R314" s="452"/>
      <c r="S314" s="158"/>
    </row>
    <row r="315" spans="1:19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2"/>
      <c r="O315" s="452"/>
      <c r="P315" s="452"/>
      <c r="Q315" s="452"/>
      <c r="R315" s="452"/>
      <c r="S315" s="158"/>
    </row>
    <row r="316" spans="1:19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2"/>
      <c r="O316" s="452"/>
      <c r="P316" s="452"/>
      <c r="Q316" s="452"/>
      <c r="R316" s="452"/>
      <c r="S316" s="158"/>
    </row>
    <row r="317" spans="1:19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2"/>
      <c r="O317" s="452"/>
      <c r="P317" s="452"/>
      <c r="Q317" s="452"/>
      <c r="R317" s="452"/>
      <c r="S317" s="158"/>
    </row>
    <row r="318" spans="1:19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2"/>
      <c r="O318" s="452"/>
      <c r="P318" s="452"/>
      <c r="Q318" s="452"/>
      <c r="R318" s="452"/>
      <c r="S318" s="158"/>
    </row>
    <row r="319" spans="1:19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158"/>
    </row>
    <row r="320" spans="1:19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2"/>
      <c r="O320" s="452"/>
      <c r="P320" s="452"/>
      <c r="Q320" s="452"/>
      <c r="R320" s="452"/>
      <c r="S320" s="158"/>
    </row>
    <row r="321" spans="1:19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2"/>
      <c r="O321" s="452"/>
      <c r="P321" s="452"/>
      <c r="Q321" s="452"/>
      <c r="R321" s="452"/>
      <c r="S321" s="158"/>
    </row>
    <row r="322" spans="1:19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2"/>
      <c r="O322" s="452"/>
      <c r="P322" s="452"/>
      <c r="Q322" s="452"/>
      <c r="R322" s="452"/>
      <c r="S322" s="158"/>
    </row>
    <row r="323" spans="1:19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2"/>
      <c r="O323" s="452"/>
      <c r="P323" s="452"/>
      <c r="Q323" s="452"/>
      <c r="R323" s="452"/>
      <c r="S323" s="158"/>
    </row>
    <row r="324" spans="1:19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2"/>
      <c r="O324" s="452"/>
      <c r="P324" s="452"/>
      <c r="Q324" s="452"/>
      <c r="R324" s="452"/>
      <c r="S324" s="158"/>
    </row>
    <row r="325" spans="1:19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2"/>
      <c r="O325" s="452"/>
      <c r="P325" s="452"/>
      <c r="Q325" s="452"/>
      <c r="R325" s="452"/>
      <c r="S325" s="158"/>
    </row>
    <row r="326" spans="1:19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2"/>
      <c r="O326" s="452"/>
      <c r="P326" s="452"/>
      <c r="Q326" s="452"/>
      <c r="R326" s="452"/>
      <c r="S326" s="158"/>
    </row>
    <row r="327" spans="1:19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2"/>
      <c r="O327" s="452"/>
      <c r="P327" s="452"/>
      <c r="Q327" s="452"/>
      <c r="R327" s="452"/>
      <c r="S327" s="158"/>
    </row>
    <row r="328" spans="1:19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60"/>
      <c r="O328" s="460"/>
      <c r="P328" s="460"/>
      <c r="Q328" s="460"/>
      <c r="R328" s="460"/>
      <c r="S328" s="158"/>
    </row>
    <row r="329" spans="1:19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2"/>
      <c r="O329" s="452"/>
      <c r="P329" s="452"/>
      <c r="Q329" s="452"/>
      <c r="R329" s="452"/>
      <c r="S329" s="158"/>
    </row>
    <row r="330" spans="1:19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2"/>
      <c r="O330" s="452"/>
      <c r="P330" s="452"/>
      <c r="Q330" s="452"/>
      <c r="R330" s="452"/>
      <c r="S330" s="158"/>
    </row>
    <row r="331" spans="1:19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2"/>
      <c r="O331" s="452"/>
      <c r="P331" s="452"/>
      <c r="Q331" s="452"/>
      <c r="R331" s="452"/>
      <c r="S331" s="158"/>
    </row>
    <row r="332" spans="1:19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2"/>
      <c r="O332" s="452"/>
      <c r="P332" s="452"/>
      <c r="Q332" s="452"/>
      <c r="R332" s="452"/>
      <c r="S332" s="158"/>
    </row>
    <row r="333" spans="1:19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2"/>
      <c r="O333" s="452"/>
      <c r="P333" s="452"/>
      <c r="Q333" s="452"/>
      <c r="R333" s="452"/>
      <c r="S333" s="158"/>
    </row>
    <row r="334" spans="1:19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2"/>
      <c r="O334" s="452"/>
      <c r="P334" s="452"/>
      <c r="Q334" s="452"/>
      <c r="R334" s="452"/>
      <c r="S334" s="158"/>
    </row>
    <row r="335" spans="1:19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2"/>
      <c r="O335" s="452"/>
      <c r="P335" s="452"/>
      <c r="Q335" s="452"/>
      <c r="R335" s="452"/>
      <c r="S335" s="158"/>
    </row>
    <row r="336" spans="1:19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2"/>
      <c r="O336" s="452"/>
      <c r="P336" s="452"/>
      <c r="Q336" s="452"/>
      <c r="R336" s="452"/>
      <c r="S336" s="158"/>
    </row>
    <row r="337" spans="1:19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2"/>
      <c r="O337" s="452"/>
      <c r="P337" s="452"/>
      <c r="Q337" s="452"/>
      <c r="R337" s="452"/>
      <c r="S337" s="158"/>
    </row>
    <row r="338" spans="1:19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2"/>
      <c r="O338" s="452"/>
      <c r="P338" s="452"/>
      <c r="Q338" s="452"/>
      <c r="R338" s="452"/>
      <c r="S338" s="158"/>
    </row>
    <row r="339" spans="1:19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2"/>
      <c r="O339" s="452"/>
      <c r="P339" s="452"/>
      <c r="Q339" s="452"/>
      <c r="R339" s="452"/>
      <c r="S339" s="158"/>
    </row>
    <row r="340" spans="1:19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2"/>
      <c r="O340" s="452"/>
      <c r="P340" s="452"/>
      <c r="Q340" s="452"/>
      <c r="R340" s="452"/>
      <c r="S340" s="158"/>
    </row>
    <row r="341" spans="1:19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>
        <v>1</v>
      </c>
      <c r="N341" s="452">
        <v>1</v>
      </c>
      <c r="O341" s="452">
        <v>1</v>
      </c>
      <c r="P341" s="452">
        <v>1</v>
      </c>
      <c r="Q341" s="452"/>
      <c r="R341" s="452">
        <v>1</v>
      </c>
      <c r="S341" s="158"/>
    </row>
    <row r="342" spans="1:19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>
        <v>1</v>
      </c>
      <c r="N342" s="452">
        <v>1</v>
      </c>
      <c r="O342" s="452">
        <v>1</v>
      </c>
      <c r="P342" s="452">
        <v>1</v>
      </c>
      <c r="Q342" s="452"/>
      <c r="R342" s="452">
        <v>1</v>
      </c>
      <c r="S342" s="158"/>
    </row>
    <row r="343" spans="1:19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>
        <v>1</v>
      </c>
      <c r="N343" s="452">
        <v>1</v>
      </c>
      <c r="O343" s="452">
        <v>1</v>
      </c>
      <c r="P343" s="452">
        <v>1</v>
      </c>
      <c r="Q343" s="452"/>
      <c r="R343" s="452">
        <v>1</v>
      </c>
      <c r="S343" s="158"/>
    </row>
    <row r="344" spans="1:19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282"/>
      <c r="O344" s="282"/>
      <c r="P344" s="282"/>
      <c r="Q344" s="282"/>
      <c r="R344" s="282"/>
      <c r="S344" s="158"/>
    </row>
    <row r="345" spans="1:19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/>
      <c r="N345" s="470"/>
      <c r="O345" s="470"/>
      <c r="P345" s="470"/>
      <c r="Q345" s="470"/>
      <c r="R345" s="470"/>
      <c r="S345" s="158"/>
    </row>
    <row r="346" spans="1:19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282"/>
      <c r="O346" s="282"/>
      <c r="P346" s="282"/>
      <c r="Q346" s="282"/>
      <c r="R346" s="282"/>
      <c r="S346" s="158"/>
    </row>
    <row r="347" spans="1:19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2"/>
      <c r="O347" s="452"/>
      <c r="P347" s="452"/>
      <c r="Q347" s="452"/>
      <c r="R347" s="452"/>
      <c r="S347" s="158"/>
    </row>
    <row r="348" spans="1:19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2"/>
      <c r="O348" s="452"/>
      <c r="P348" s="452"/>
      <c r="Q348" s="452"/>
      <c r="R348" s="452"/>
      <c r="S348" s="158"/>
    </row>
    <row r="349" spans="1:19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2"/>
      <c r="O349" s="452"/>
      <c r="P349" s="452"/>
      <c r="Q349" s="452"/>
      <c r="R349" s="452"/>
      <c r="S349" s="158"/>
    </row>
    <row r="350" spans="1:19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2"/>
      <c r="O350" s="452"/>
      <c r="P350" s="452"/>
      <c r="Q350" s="452"/>
      <c r="R350" s="452"/>
      <c r="S350" s="158"/>
    </row>
    <row r="351" spans="1:19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2"/>
      <c r="O351" s="452"/>
      <c r="P351" s="452"/>
      <c r="Q351" s="452"/>
      <c r="R351" s="452"/>
      <c r="S351" s="158"/>
    </row>
    <row r="352" spans="1:19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2"/>
      <c r="O352" s="452"/>
      <c r="P352" s="452"/>
      <c r="Q352" s="452"/>
      <c r="R352" s="452"/>
      <c r="S352" s="158"/>
    </row>
    <row r="353" spans="1:19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2"/>
      <c r="O353" s="452"/>
      <c r="P353" s="452"/>
      <c r="Q353" s="452"/>
      <c r="R353" s="452"/>
      <c r="S353" s="158"/>
    </row>
    <row r="354" spans="1:19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2"/>
      <c r="O354" s="452"/>
      <c r="P354" s="452"/>
      <c r="Q354" s="452"/>
      <c r="R354" s="452"/>
      <c r="S354" s="158"/>
    </row>
    <row r="355" spans="1:19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2"/>
      <c r="O355" s="452"/>
      <c r="P355" s="452"/>
      <c r="Q355" s="452"/>
      <c r="R355" s="452"/>
      <c r="S355" s="158"/>
    </row>
    <row r="356" spans="1:19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2"/>
      <c r="O356" s="452"/>
      <c r="P356" s="452"/>
      <c r="Q356" s="452"/>
      <c r="R356" s="452"/>
      <c r="S356" s="158"/>
    </row>
    <row r="357" spans="1:19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2"/>
      <c r="O357" s="452"/>
      <c r="P357" s="452"/>
      <c r="Q357" s="452"/>
      <c r="R357" s="452"/>
      <c r="S357" s="158"/>
    </row>
    <row r="358" spans="1:19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2"/>
      <c r="O358" s="452"/>
      <c r="P358" s="452"/>
      <c r="Q358" s="452"/>
      <c r="R358" s="452"/>
      <c r="S358" s="158"/>
    </row>
    <row r="359" spans="1:19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2"/>
      <c r="O359" s="452"/>
      <c r="P359" s="452"/>
      <c r="Q359" s="452"/>
      <c r="R359" s="452"/>
      <c r="S359" s="158"/>
    </row>
    <row r="360" spans="1:19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2"/>
      <c r="O360" s="452"/>
      <c r="P360" s="452"/>
      <c r="Q360" s="452"/>
      <c r="R360" s="452"/>
      <c r="S360" s="158"/>
    </row>
    <row r="361" spans="1:19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2"/>
      <c r="O361" s="452"/>
      <c r="P361" s="452"/>
      <c r="Q361" s="452"/>
      <c r="R361" s="452"/>
      <c r="S361" s="158"/>
    </row>
    <row r="362" spans="1:19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2"/>
      <c r="O362" s="452"/>
      <c r="P362" s="452"/>
      <c r="Q362" s="452"/>
      <c r="R362" s="452"/>
      <c r="S362" s="158"/>
    </row>
    <row r="363" spans="1:19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2"/>
      <c r="O363" s="452"/>
      <c r="P363" s="452"/>
      <c r="Q363" s="452"/>
      <c r="R363" s="452"/>
      <c r="S363" s="158"/>
    </row>
    <row r="364" spans="1:19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2"/>
      <c r="O364" s="452"/>
      <c r="P364" s="452"/>
      <c r="Q364" s="452"/>
      <c r="R364" s="452"/>
      <c r="S364" s="158"/>
    </row>
    <row r="365" spans="1:19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2"/>
      <c r="O365" s="452"/>
      <c r="P365" s="452"/>
      <c r="Q365" s="452"/>
      <c r="R365" s="452"/>
      <c r="S365" s="158"/>
    </row>
    <row r="366" spans="1:19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2"/>
      <c r="O366" s="452"/>
      <c r="P366" s="452"/>
      <c r="Q366" s="452"/>
      <c r="R366" s="452"/>
      <c r="S366" s="158"/>
    </row>
    <row r="367" spans="1:19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2"/>
      <c r="O367" s="452"/>
      <c r="P367" s="452"/>
      <c r="Q367" s="452"/>
      <c r="R367" s="452"/>
      <c r="S367" s="158"/>
    </row>
    <row r="368" spans="1:19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2"/>
      <c r="O368" s="452"/>
      <c r="P368" s="452"/>
      <c r="Q368" s="452"/>
      <c r="R368" s="452"/>
      <c r="S368" s="158"/>
    </row>
    <row r="369" spans="1:19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2"/>
      <c r="O369" s="452"/>
      <c r="P369" s="452"/>
      <c r="Q369" s="452"/>
      <c r="R369" s="452"/>
      <c r="S369" s="158"/>
    </row>
    <row r="370" spans="1:19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2"/>
      <c r="O370" s="452"/>
      <c r="P370" s="452"/>
      <c r="Q370" s="452"/>
      <c r="R370" s="452"/>
      <c r="S370" s="158"/>
    </row>
    <row r="371" spans="1:19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2"/>
      <c r="O371" s="452"/>
      <c r="P371" s="452"/>
      <c r="Q371" s="452"/>
      <c r="R371" s="452"/>
      <c r="S371" s="158"/>
    </row>
    <row r="372" spans="1:19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2"/>
      <c r="O372" s="452"/>
      <c r="P372" s="452"/>
      <c r="Q372" s="452"/>
      <c r="R372" s="452"/>
      <c r="S372" s="158"/>
    </row>
    <row r="373" spans="1:19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2"/>
      <c r="O373" s="452"/>
      <c r="P373" s="452"/>
      <c r="Q373" s="452"/>
      <c r="R373" s="452"/>
      <c r="S373" s="158"/>
    </row>
    <row r="374" spans="1:19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2"/>
      <c r="O374" s="452"/>
      <c r="P374" s="452"/>
      <c r="Q374" s="452"/>
      <c r="R374" s="452"/>
      <c r="S374" s="158"/>
    </row>
    <row r="375" spans="1:19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>
        <v>1</v>
      </c>
      <c r="N375" s="452">
        <v>1</v>
      </c>
      <c r="O375" s="452">
        <v>1</v>
      </c>
      <c r="P375" s="452">
        <v>1</v>
      </c>
      <c r="Q375" s="452"/>
      <c r="R375" s="452">
        <v>1</v>
      </c>
      <c r="S375" s="158"/>
    </row>
    <row r="376" spans="1:19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>
        <v>1</v>
      </c>
      <c r="N376" s="452">
        <v>1</v>
      </c>
      <c r="O376" s="452">
        <v>1</v>
      </c>
      <c r="P376" s="452">
        <v>1</v>
      </c>
      <c r="Q376" s="452"/>
      <c r="R376" s="452">
        <v>1</v>
      </c>
      <c r="S376" s="158"/>
    </row>
    <row r="377" spans="1:19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>
        <v>1</v>
      </c>
      <c r="N377" s="452">
        <v>1</v>
      </c>
      <c r="O377" s="452">
        <v>1</v>
      </c>
      <c r="P377" s="452">
        <v>1</v>
      </c>
      <c r="Q377" s="452"/>
      <c r="R377" s="452">
        <v>1</v>
      </c>
      <c r="S377" s="158"/>
    </row>
    <row r="378" spans="1:19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471"/>
      <c r="O378" s="471"/>
      <c r="P378" s="471"/>
      <c r="Q378" s="471"/>
      <c r="R378" s="471"/>
      <c r="S378" s="158"/>
    </row>
    <row r="379" spans="1:19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282"/>
      <c r="O379" s="282"/>
      <c r="P379" s="282"/>
      <c r="Q379" s="282"/>
      <c r="R379" s="282"/>
      <c r="S379" s="158"/>
    </row>
    <row r="380" spans="1:19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282"/>
      <c r="O380" s="282"/>
      <c r="P380" s="282"/>
      <c r="Q380" s="282"/>
      <c r="R380" s="282"/>
      <c r="S380" s="158"/>
    </row>
    <row r="381" spans="1:19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282"/>
      <c r="O381" s="282"/>
      <c r="P381" s="282"/>
      <c r="Q381" s="282"/>
      <c r="R381" s="282"/>
      <c r="S381" s="158"/>
    </row>
    <row r="382" spans="1:19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/>
      <c r="N382" s="470"/>
      <c r="O382" s="470"/>
      <c r="P382" s="470"/>
      <c r="Q382" s="470"/>
      <c r="R382" s="470"/>
      <c r="S382" s="158"/>
    </row>
    <row r="383" spans="1:19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282"/>
      <c r="O383" s="282"/>
      <c r="P383" s="282"/>
      <c r="Q383" s="282"/>
      <c r="R383" s="282"/>
      <c r="S383" s="158"/>
    </row>
    <row r="384" spans="1:19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2"/>
      <c r="O384" s="452"/>
      <c r="P384" s="452"/>
      <c r="Q384" s="452"/>
      <c r="R384" s="452"/>
      <c r="S384" s="158"/>
    </row>
    <row r="385" spans="1:19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2"/>
      <c r="O385" s="452"/>
      <c r="P385" s="452"/>
      <c r="Q385" s="452"/>
      <c r="R385" s="452"/>
      <c r="S385" s="158"/>
    </row>
    <row r="386" spans="1:19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2"/>
      <c r="O386" s="452"/>
      <c r="P386" s="452"/>
      <c r="Q386" s="452"/>
      <c r="R386" s="452"/>
      <c r="S386" s="158"/>
    </row>
    <row r="387" spans="1:19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2"/>
      <c r="O387" s="452"/>
      <c r="P387" s="452"/>
      <c r="Q387" s="452"/>
      <c r="R387" s="452"/>
      <c r="S387" s="158"/>
    </row>
    <row r="388" spans="1:19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2"/>
      <c r="O388" s="452"/>
      <c r="P388" s="452"/>
      <c r="Q388" s="452"/>
      <c r="R388" s="452"/>
      <c r="S388" s="158"/>
    </row>
    <row r="389" spans="1:19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2"/>
      <c r="O389" s="452"/>
      <c r="P389" s="452"/>
      <c r="Q389" s="452"/>
      <c r="R389" s="452"/>
      <c r="S389" s="158"/>
    </row>
    <row r="390" spans="1:19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2"/>
      <c r="O390" s="452"/>
      <c r="P390" s="452"/>
      <c r="Q390" s="452"/>
      <c r="R390" s="452"/>
      <c r="S390" s="158"/>
    </row>
    <row r="391" spans="1:19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2"/>
      <c r="O391" s="452"/>
      <c r="P391" s="452"/>
      <c r="Q391" s="452"/>
      <c r="R391" s="452"/>
      <c r="S391" s="158"/>
    </row>
    <row r="392" spans="1:19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2"/>
      <c r="O392" s="452"/>
      <c r="P392" s="452"/>
      <c r="Q392" s="452"/>
      <c r="R392" s="452"/>
      <c r="S392" s="158"/>
    </row>
    <row r="393" spans="1:19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2"/>
      <c r="O393" s="452"/>
      <c r="P393" s="452"/>
      <c r="Q393" s="452"/>
      <c r="R393" s="452"/>
      <c r="S393" s="158"/>
    </row>
    <row r="394" spans="1:19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2"/>
      <c r="O394" s="452"/>
      <c r="P394" s="452"/>
      <c r="Q394" s="452"/>
      <c r="R394" s="452"/>
      <c r="S394" s="158"/>
    </row>
    <row r="395" spans="1:19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2"/>
      <c r="O395" s="452"/>
      <c r="P395" s="452"/>
      <c r="Q395" s="452"/>
      <c r="R395" s="452"/>
      <c r="S395" s="158"/>
    </row>
    <row r="396" spans="1:19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2"/>
      <c r="O396" s="452"/>
      <c r="P396" s="452"/>
      <c r="Q396" s="452"/>
      <c r="R396" s="452"/>
      <c r="S396" s="158"/>
    </row>
    <row r="397" spans="1:19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2"/>
      <c r="O397" s="452"/>
      <c r="P397" s="452"/>
      <c r="Q397" s="452"/>
      <c r="R397" s="452"/>
      <c r="S397" s="158"/>
    </row>
    <row r="398" spans="1:19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2"/>
      <c r="O398" s="452"/>
      <c r="P398" s="452"/>
      <c r="Q398" s="452"/>
      <c r="R398" s="452"/>
      <c r="S398" s="158"/>
    </row>
    <row r="399" spans="1:19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2"/>
      <c r="O399" s="452"/>
      <c r="P399" s="452"/>
      <c r="Q399" s="452"/>
      <c r="R399" s="452"/>
      <c r="S399" s="158"/>
    </row>
    <row r="400" spans="1:19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2"/>
      <c r="O400" s="452"/>
      <c r="P400" s="452"/>
      <c r="Q400" s="452"/>
      <c r="R400" s="452"/>
      <c r="S400" s="158"/>
    </row>
    <row r="401" spans="1:19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2"/>
      <c r="O401" s="452"/>
      <c r="P401" s="452"/>
      <c r="Q401" s="452"/>
      <c r="R401" s="452"/>
      <c r="S401" s="158"/>
    </row>
    <row r="402" spans="1:19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2"/>
      <c r="O402" s="452"/>
      <c r="P402" s="452"/>
      <c r="Q402" s="452"/>
      <c r="R402" s="452"/>
      <c r="S402" s="158"/>
    </row>
    <row r="403" spans="1:19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2"/>
      <c r="O403" s="452"/>
      <c r="P403" s="452"/>
      <c r="Q403" s="452"/>
      <c r="R403" s="452"/>
      <c r="S403" s="158"/>
    </row>
    <row r="404" spans="1:19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2"/>
      <c r="O404" s="452"/>
      <c r="P404" s="452"/>
      <c r="Q404" s="452"/>
      <c r="R404" s="452"/>
      <c r="S404" s="158"/>
    </row>
    <row r="405" spans="1:19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2"/>
      <c r="O405" s="452"/>
      <c r="P405" s="452"/>
      <c r="Q405" s="452"/>
      <c r="R405" s="452"/>
      <c r="S405" s="158"/>
    </row>
    <row r="406" spans="1:19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2"/>
      <c r="O406" s="452"/>
      <c r="P406" s="452"/>
      <c r="Q406" s="452"/>
      <c r="R406" s="452"/>
      <c r="S406" s="158"/>
    </row>
    <row r="407" spans="1:19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2"/>
      <c r="O407" s="452"/>
      <c r="P407" s="452"/>
      <c r="Q407" s="452"/>
      <c r="R407" s="452"/>
      <c r="S407" s="158"/>
    </row>
    <row r="408" spans="1:19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2"/>
      <c r="O408" s="452"/>
      <c r="P408" s="452"/>
      <c r="Q408" s="452"/>
      <c r="R408" s="452"/>
      <c r="S408" s="158"/>
    </row>
    <row r="409" spans="1:19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/>
      <c r="S409" s="158"/>
    </row>
    <row r="410" spans="1:19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/>
      <c r="S410" s="158"/>
    </row>
    <row r="411" spans="1:19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2"/>
      <c r="O411" s="452"/>
      <c r="P411" s="452"/>
      <c r="Q411" s="452"/>
      <c r="R411" s="452"/>
      <c r="S411" s="158"/>
    </row>
    <row r="412" spans="1:19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2"/>
      <c r="O412" s="452"/>
      <c r="P412" s="452"/>
      <c r="Q412" s="452"/>
      <c r="R412" s="452"/>
      <c r="S412" s="158"/>
    </row>
    <row r="413" spans="1:19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2"/>
      <c r="O413" s="452"/>
      <c r="P413" s="452"/>
      <c r="Q413" s="452"/>
      <c r="R413" s="452"/>
      <c r="S413" s="158"/>
    </row>
    <row r="414" spans="1:19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2"/>
      <c r="O414" s="452"/>
      <c r="P414" s="452"/>
      <c r="Q414" s="452"/>
      <c r="R414" s="452"/>
      <c r="S414" s="158"/>
    </row>
    <row r="415" spans="1:19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2"/>
      <c r="O415" s="452"/>
      <c r="P415" s="452"/>
      <c r="Q415" s="452"/>
      <c r="R415" s="452"/>
      <c r="S415" s="158"/>
    </row>
    <row r="416" spans="1:19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2"/>
      <c r="O416" s="452"/>
      <c r="P416" s="452"/>
      <c r="Q416" s="452"/>
      <c r="R416" s="452"/>
      <c r="S416" s="158"/>
    </row>
    <row r="417" spans="1:19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2"/>
      <c r="O417" s="452"/>
      <c r="P417" s="452"/>
      <c r="Q417" s="452"/>
      <c r="R417" s="452"/>
      <c r="S417" s="158"/>
    </row>
    <row r="418" spans="1:19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2"/>
      <c r="O418" s="452"/>
      <c r="P418" s="452"/>
      <c r="Q418" s="452"/>
      <c r="R418" s="452"/>
      <c r="S418" s="158"/>
    </row>
    <row r="419" spans="1:19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2"/>
      <c r="O419" s="452"/>
      <c r="P419" s="452"/>
      <c r="Q419" s="452"/>
      <c r="R419" s="452"/>
      <c r="S419" s="158"/>
    </row>
    <row r="420" spans="1:19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2"/>
      <c r="O420" s="452"/>
      <c r="P420" s="452"/>
      <c r="Q420" s="452"/>
      <c r="R420" s="452"/>
      <c r="S420" s="158"/>
    </row>
    <row r="421" spans="1:19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2"/>
      <c r="O421" s="452"/>
      <c r="P421" s="452"/>
      <c r="Q421" s="452"/>
      <c r="R421" s="452"/>
      <c r="S421" s="158"/>
    </row>
    <row r="422" spans="1:19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60"/>
      <c r="O422" s="460"/>
      <c r="P422" s="460"/>
      <c r="Q422" s="460"/>
      <c r="R422" s="460"/>
      <c r="S422" s="158"/>
    </row>
    <row r="423" spans="1:19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2"/>
      <c r="O423" s="452"/>
      <c r="P423" s="452"/>
      <c r="Q423" s="452"/>
      <c r="R423" s="452"/>
      <c r="S423" s="158"/>
    </row>
    <row r="424" spans="1:19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2"/>
      <c r="O424" s="452"/>
      <c r="P424" s="452"/>
      <c r="Q424" s="452"/>
      <c r="R424" s="452"/>
      <c r="S424" s="158"/>
    </row>
    <row r="425" spans="1:19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2"/>
      <c r="O425" s="452"/>
      <c r="P425" s="452"/>
      <c r="Q425" s="452"/>
      <c r="R425" s="452"/>
      <c r="S425" s="158"/>
    </row>
    <row r="426" spans="1:19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60"/>
      <c r="O426" s="460"/>
      <c r="P426" s="460"/>
      <c r="Q426" s="460"/>
      <c r="R426" s="460"/>
      <c r="S426" s="158"/>
    </row>
    <row r="427" spans="1:19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2"/>
      <c r="O427" s="452"/>
      <c r="P427" s="452"/>
      <c r="Q427" s="452"/>
      <c r="R427" s="452"/>
      <c r="S427" s="158"/>
    </row>
    <row r="428" spans="1:19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2"/>
      <c r="O428" s="452"/>
      <c r="P428" s="452"/>
      <c r="Q428" s="452"/>
      <c r="R428" s="452"/>
      <c r="S428" s="158"/>
    </row>
    <row r="429" spans="1:19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2"/>
      <c r="O429" s="452"/>
      <c r="P429" s="452"/>
      <c r="Q429" s="452"/>
      <c r="R429" s="452"/>
      <c r="S429" s="158"/>
    </row>
    <row r="430" spans="1:19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2"/>
      <c r="O430" s="452"/>
      <c r="P430" s="452"/>
      <c r="Q430" s="452"/>
      <c r="R430" s="452"/>
      <c r="S430" s="158"/>
    </row>
    <row r="431" spans="1:19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2"/>
      <c r="O431" s="452"/>
      <c r="P431" s="452"/>
      <c r="Q431" s="452"/>
      <c r="R431" s="452"/>
      <c r="S431" s="158"/>
    </row>
    <row r="432" spans="1:19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2"/>
      <c r="O432" s="452"/>
      <c r="P432" s="452"/>
      <c r="Q432" s="452"/>
      <c r="R432" s="452"/>
      <c r="S432" s="158"/>
    </row>
    <row r="433" spans="1:19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2"/>
      <c r="O433" s="452"/>
      <c r="P433" s="452"/>
      <c r="Q433" s="452"/>
      <c r="R433" s="452"/>
      <c r="S433" s="158"/>
    </row>
    <row r="434" spans="1:19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2"/>
      <c r="O434" s="452"/>
      <c r="P434" s="452"/>
      <c r="Q434" s="452"/>
      <c r="R434" s="452"/>
      <c r="S434" s="158"/>
    </row>
    <row r="435" spans="1:19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2"/>
      <c r="O435" s="452"/>
      <c r="P435" s="452"/>
      <c r="Q435" s="452"/>
      <c r="R435" s="452"/>
      <c r="S435" s="158"/>
    </row>
    <row r="436" spans="1:19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2"/>
      <c r="O436" s="452"/>
      <c r="P436" s="452"/>
      <c r="Q436" s="452"/>
      <c r="R436" s="452"/>
      <c r="S436" s="158"/>
    </row>
    <row r="437" spans="1:19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2"/>
      <c r="O437" s="452"/>
      <c r="P437" s="452"/>
      <c r="Q437" s="452"/>
      <c r="R437" s="452"/>
      <c r="S437" s="158"/>
    </row>
    <row r="438" spans="1:19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2"/>
      <c r="O438" s="452"/>
      <c r="P438" s="452"/>
      <c r="Q438" s="452"/>
      <c r="R438" s="452"/>
      <c r="S438" s="158"/>
    </row>
    <row r="439" spans="1:19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2"/>
      <c r="O439" s="452"/>
      <c r="P439" s="452"/>
      <c r="Q439" s="452"/>
      <c r="R439" s="452"/>
      <c r="S439" s="158"/>
    </row>
    <row r="440" spans="1:19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2"/>
      <c r="O440" s="452"/>
      <c r="P440" s="452"/>
      <c r="Q440" s="452"/>
      <c r="R440" s="452"/>
      <c r="S440" s="158"/>
    </row>
    <row r="441" spans="1:19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2"/>
      <c r="O441" s="452"/>
      <c r="P441" s="452"/>
      <c r="Q441" s="452"/>
      <c r="R441" s="452"/>
      <c r="S441" s="158"/>
    </row>
    <row r="442" spans="1:19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282"/>
      <c r="O442" s="282"/>
      <c r="P442" s="282"/>
      <c r="Q442" s="282"/>
      <c r="R442" s="282"/>
      <c r="S442" s="158"/>
    </row>
    <row r="443" spans="1:19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/>
      <c r="N443" s="470"/>
      <c r="O443" s="470"/>
      <c r="P443" s="470"/>
      <c r="Q443" s="470"/>
      <c r="R443" s="470"/>
      <c r="S443" s="158"/>
    </row>
    <row r="444" spans="1:19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3"/>
      <c r="O444" s="323"/>
      <c r="P444" s="323"/>
      <c r="Q444" s="323"/>
      <c r="R444" s="323"/>
      <c r="S444" s="158"/>
    </row>
    <row r="445" spans="1:19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>
        <f t="shared" ref="M445:Q445" si="6">1-(0.0000258)/(IF(Tm&gt;298,EXP(-6.79*(1-Tm/298))*Pvap25*EXP((H0vap/8.314)*(1/298-1/TEMP.C)),Pvap25*EXP((H0vap/8.314)*(1/298-1/TEMP.C)))+(0.0000258))</f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>
        <f t="shared" si="6"/>
        <v>0.99692071229307011</v>
      </c>
      <c r="R445" s="452"/>
      <c r="S445" s="158"/>
    </row>
    <row r="446" spans="1:19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2"/>
      <c r="O446" s="452"/>
      <c r="P446" s="452"/>
      <c r="Q446" s="452"/>
      <c r="R446" s="452"/>
      <c r="S446" s="158"/>
    </row>
    <row r="447" spans="1:19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>
        <f t="shared" ref="M447:Q447" si="7">(0.0000258)/(IF(Tm&gt;298,EXP(-6.79*(1-Tm/298))*Pvap25*EXP((H0vap/8.314)*(1/298-1/TEMP.C)),Pvap25*EXP((H0vap/8.314)*(1/298-1/TEMP.C)))+(0.0000258))</f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>
        <f t="shared" si="7"/>
        <v>3.079287706929933E-3</v>
      </c>
      <c r="R447" s="452"/>
      <c r="S447" s="158"/>
    </row>
    <row r="448" spans="1:19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2"/>
      <c r="O448" s="452"/>
      <c r="P448" s="452"/>
      <c r="Q448" s="452"/>
      <c r="R448" s="452"/>
      <c r="S448" s="158"/>
    </row>
    <row r="449" spans="1:19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2"/>
      <c r="O449" s="452"/>
      <c r="P449" s="452"/>
      <c r="Q449" s="452"/>
      <c r="R449" s="452"/>
      <c r="S449" s="158"/>
    </row>
    <row r="450" spans="1:19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2"/>
      <c r="O450" s="452"/>
      <c r="P450" s="452"/>
      <c r="Q450" s="452"/>
      <c r="R450" s="452"/>
      <c r="S450" s="158"/>
    </row>
    <row r="451" spans="1:19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>
        <f t="shared" ref="M451:Q451" si="8">1/(1+Kp.susp0C*SUSP.w0C/1000+0.05*Kow*0.001/1000)</f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>
        <f t="shared" si="8"/>
        <v>0.43746391672203505</v>
      </c>
      <c r="R451" s="452"/>
      <c r="S451" s="158"/>
    </row>
    <row r="452" spans="1:19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2"/>
      <c r="O452" s="452"/>
      <c r="P452" s="452"/>
      <c r="Q452" s="452"/>
      <c r="R452" s="452"/>
      <c r="S452" s="158"/>
    </row>
    <row r="453" spans="1:19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2"/>
      <c r="O453" s="452"/>
      <c r="P453" s="452"/>
      <c r="Q453" s="452"/>
      <c r="R453" s="452"/>
      <c r="S453" s="158"/>
    </row>
    <row r="454" spans="1:19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2"/>
      <c r="O454" s="452"/>
      <c r="P454" s="452"/>
      <c r="Q454" s="452"/>
      <c r="R454" s="452"/>
      <c r="S454" s="158"/>
    </row>
    <row r="455" spans="1:19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2"/>
      <c r="O455" s="452"/>
      <c r="P455" s="452"/>
      <c r="Q455" s="452"/>
      <c r="R455" s="452"/>
      <c r="S455" s="158"/>
    </row>
    <row r="456" spans="1:19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2"/>
      <c r="O456" s="452"/>
      <c r="P456" s="452"/>
      <c r="Q456" s="452"/>
      <c r="R456" s="452"/>
      <c r="S456" s="158"/>
    </row>
    <row r="457" spans="1:19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>
        <f t="shared" ref="M457:Q457" si="9">1/(1+Kp.susp1C*SUSP.w1C/1000+0.05*Kow*0.001/1000)</f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>
        <f t="shared" si="9"/>
        <v>0.43358634598646467</v>
      </c>
      <c r="R457" s="452"/>
      <c r="S457" s="158"/>
    </row>
    <row r="458" spans="1:19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2"/>
      <c r="O458" s="452"/>
      <c r="P458" s="452"/>
      <c r="Q458" s="452"/>
      <c r="R458" s="452"/>
      <c r="S458" s="158"/>
    </row>
    <row r="459" spans="1:19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2"/>
      <c r="O459" s="452"/>
      <c r="P459" s="452"/>
      <c r="Q459" s="452"/>
      <c r="R459" s="452"/>
      <c r="S459" s="158"/>
    </row>
    <row r="460" spans="1:19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2"/>
      <c r="O460" s="452"/>
      <c r="P460" s="452"/>
      <c r="Q460" s="452"/>
      <c r="R460" s="452"/>
      <c r="S460" s="158"/>
    </row>
    <row r="461" spans="1:19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2"/>
      <c r="O461" s="452"/>
      <c r="P461" s="452"/>
      <c r="Q461" s="452"/>
      <c r="R461" s="452"/>
      <c r="S461" s="158"/>
    </row>
    <row r="462" spans="1:19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2"/>
      <c r="O462" s="452"/>
      <c r="P462" s="452"/>
      <c r="Q462" s="452"/>
      <c r="R462" s="452"/>
      <c r="S462" s="158"/>
    </row>
    <row r="463" spans="1:19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>
        <f t="shared" ref="M463:Q463" si="10">1/(1+Kp.susp2C*SUSP.w2C/1000+0.05*Kow*0.001/1000)</f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>
        <f t="shared" si="10"/>
        <v>0.43523010511689086</v>
      </c>
      <c r="R463" s="452"/>
      <c r="S463" s="158"/>
    </row>
    <row r="464" spans="1:19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2"/>
      <c r="O464" s="452"/>
      <c r="P464" s="452"/>
      <c r="Q464" s="452"/>
      <c r="R464" s="452"/>
      <c r="S464" s="158"/>
    </row>
    <row r="465" spans="1:19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2"/>
      <c r="O465" s="452"/>
      <c r="P465" s="452"/>
      <c r="Q465" s="452"/>
      <c r="R465" s="452"/>
      <c r="S465" s="158"/>
    </row>
    <row r="466" spans="1:19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2"/>
      <c r="O466" s="452"/>
      <c r="P466" s="452"/>
      <c r="Q466" s="452"/>
      <c r="R466" s="452"/>
      <c r="S466" s="158"/>
    </row>
    <row r="467" spans="1:19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2"/>
      <c r="O467" s="452"/>
      <c r="P467" s="452"/>
      <c r="Q467" s="452"/>
      <c r="R467" s="452"/>
      <c r="S467" s="158"/>
    </row>
    <row r="468" spans="1:19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2"/>
      <c r="O468" s="452"/>
      <c r="P468" s="452"/>
      <c r="Q468" s="452"/>
      <c r="R468" s="452"/>
      <c r="S468" s="158"/>
    </row>
    <row r="469" spans="1:19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2"/>
      <c r="O469" s="452"/>
      <c r="P469" s="452"/>
      <c r="Q469" s="452"/>
      <c r="R469" s="452"/>
      <c r="S469" s="158"/>
    </row>
    <row r="470" spans="1:19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2"/>
      <c r="O470" s="452"/>
      <c r="P470" s="452"/>
      <c r="Q470" s="452"/>
      <c r="R470" s="452"/>
      <c r="S470" s="158"/>
    </row>
    <row r="471" spans="1:19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2"/>
      <c r="O471" s="452"/>
      <c r="P471" s="452"/>
      <c r="Q471" s="452"/>
      <c r="R471" s="452"/>
      <c r="S471" s="158"/>
    </row>
    <row r="472" spans="1:19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2"/>
      <c r="O472" s="452"/>
      <c r="P472" s="452"/>
      <c r="Q472" s="452"/>
      <c r="R472" s="452"/>
      <c r="S472" s="158"/>
    </row>
    <row r="473" spans="1:19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2"/>
      <c r="O473" s="452"/>
      <c r="P473" s="452"/>
      <c r="Q473" s="452"/>
      <c r="R473" s="452"/>
      <c r="S473" s="158"/>
    </row>
    <row r="474" spans="1:19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2"/>
      <c r="O474" s="452"/>
      <c r="P474" s="452"/>
      <c r="Q474" s="452"/>
      <c r="R474" s="452"/>
      <c r="S474" s="158"/>
    </row>
    <row r="475" spans="1:19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2"/>
      <c r="O475" s="452"/>
      <c r="P475" s="452"/>
      <c r="Q475" s="452"/>
      <c r="R475" s="452"/>
      <c r="S475" s="158"/>
    </row>
    <row r="476" spans="1:19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2"/>
      <c r="O476" s="452"/>
      <c r="P476" s="452"/>
      <c r="Q476" s="452"/>
      <c r="R476" s="452"/>
      <c r="S476" s="158"/>
    </row>
    <row r="477" spans="1:19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2"/>
      <c r="O477" s="452"/>
      <c r="P477" s="452"/>
      <c r="Q477" s="452"/>
      <c r="R477" s="452"/>
      <c r="S477" s="158"/>
    </row>
    <row r="478" spans="1:19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2"/>
      <c r="O478" s="452"/>
      <c r="P478" s="452"/>
      <c r="Q478" s="452"/>
      <c r="R478" s="452"/>
      <c r="S478" s="158"/>
    </row>
    <row r="479" spans="1:19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2"/>
      <c r="O479" s="452"/>
      <c r="P479" s="452"/>
      <c r="Q479" s="452"/>
      <c r="R479" s="452"/>
      <c r="S479" s="158"/>
    </row>
    <row r="480" spans="1:19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2"/>
      <c r="O480" s="452"/>
      <c r="P480" s="452"/>
      <c r="Q480" s="452"/>
      <c r="R480" s="452"/>
      <c r="S480" s="158"/>
    </row>
    <row r="481" spans="1:19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2"/>
      <c r="O481" s="452"/>
      <c r="P481" s="452"/>
      <c r="Q481" s="452"/>
      <c r="R481" s="452"/>
      <c r="S481" s="158"/>
    </row>
    <row r="482" spans="1:19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2"/>
      <c r="O482" s="452"/>
      <c r="P482" s="452"/>
      <c r="Q482" s="452"/>
      <c r="R482" s="452"/>
      <c r="S482" s="158"/>
    </row>
    <row r="483" spans="1:19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2"/>
      <c r="O483" s="452"/>
      <c r="P483" s="452"/>
      <c r="Q483" s="452"/>
      <c r="R483" s="452"/>
      <c r="S483" s="158"/>
    </row>
    <row r="484" spans="1:19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2"/>
      <c r="O484" s="452"/>
      <c r="P484" s="452"/>
      <c r="Q484" s="452"/>
      <c r="R484" s="452"/>
      <c r="S484" s="158"/>
    </row>
    <row r="485" spans="1:19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2"/>
      <c r="O485" s="452"/>
      <c r="P485" s="452"/>
      <c r="Q485" s="452"/>
      <c r="R485" s="452"/>
      <c r="S485" s="158"/>
    </row>
    <row r="486" spans="1:19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2"/>
      <c r="O486" s="452"/>
      <c r="P486" s="452"/>
      <c r="Q486" s="452"/>
      <c r="R486" s="452"/>
      <c r="S486" s="158"/>
    </row>
    <row r="487" spans="1:19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2"/>
      <c r="O487" s="452"/>
      <c r="P487" s="452"/>
      <c r="Q487" s="452"/>
      <c r="R487" s="452"/>
      <c r="S487" s="158"/>
    </row>
    <row r="488" spans="1:19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2"/>
      <c r="O488" s="452"/>
      <c r="P488" s="452"/>
      <c r="Q488" s="452"/>
      <c r="R488" s="452"/>
      <c r="S488" s="158"/>
    </row>
    <row r="489" spans="1:19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2"/>
      <c r="O489" s="452"/>
      <c r="P489" s="452"/>
      <c r="Q489" s="452"/>
      <c r="R489" s="452"/>
      <c r="S489" s="158"/>
    </row>
    <row r="490" spans="1:19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282"/>
      <c r="O490" s="282"/>
      <c r="P490" s="282"/>
      <c r="Q490" s="282"/>
      <c r="R490" s="282"/>
      <c r="S490" s="158"/>
    </row>
    <row r="491" spans="1:19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/>
      <c r="N491" s="470"/>
      <c r="O491" s="470"/>
      <c r="P491" s="470"/>
      <c r="Q491" s="470"/>
      <c r="R491" s="470"/>
      <c r="S491" s="158"/>
    </row>
    <row r="492" spans="1:19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282"/>
      <c r="O492" s="282"/>
      <c r="P492" s="282"/>
      <c r="Q492" s="282"/>
      <c r="R492" s="282"/>
      <c r="S492" s="158"/>
    </row>
    <row r="493" spans="1:19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1">
        <f>((DRYDEPaerosol.C+AerosolWashout.C+GasWashout.C+GASABS.aC.wC)/HEIGHT.aC)*AREAFRAC.w0C</f>
        <v>4.5951555363845314E-7</v>
      </c>
      <c r="R493" s="452"/>
      <c r="S493" s="158"/>
    </row>
    <row r="494" spans="1:19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1">
        <f>((DRYDEPaerosol.C+AerosolWashout.C+GasWashout.C+GASABS.aC.wC)/HEIGHT.aC)*AREAFRAC.w1C</f>
        <v>5.0546710900229843E-6</v>
      </c>
      <c r="R494" s="452"/>
      <c r="S494" s="158"/>
    </row>
    <row r="495" spans="1:19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1">
        <f>((DRYDEPaerosol.C+AerosolWashout.C+GasWashout.C+GASABS.aC.wC)/HEIGHT.aC)*AREAFRAC.w2C</f>
        <v>1.9580584903914903E-4</v>
      </c>
      <c r="R495" s="452"/>
      <c r="S495" s="158"/>
    </row>
    <row r="496" spans="1:19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>
        <f>((DRYDEPaerosol.C+AerosolWashout.C+GasWashout.C+GASABS.aC.sC)/HEIGHT.aC)*AREAFRAC.s1C</f>
        <v>4.9655651081310961E-5</v>
      </c>
      <c r="N496" s="451">
        <f>((DRYDEPaerosol.C+AerosolWashout.C+GasWashout.C+GASABS.aC.sC)/HEIGHT.aC)*AREAFRAC.s1C</f>
        <v>4.9655651081310961E-5</v>
      </c>
      <c r="O496" s="451">
        <f>((DRYDEPaerosol.C+AerosolWashout.C+GasWashout.C+GASABS.aC.sC)/HEIGHT.aC)*AREAFRAC.s1C</f>
        <v>4.9655651081310961E-5</v>
      </c>
      <c r="P496" s="451">
        <f>((DRYDEPaerosol.C+AerosolWashout.C+GasWashout.C+GASABS.aC.sC)/HEIGHT.aC)*AREAFRAC.s1C</f>
        <v>4.9655651081310961E-5</v>
      </c>
      <c r="Q496" s="451">
        <f>((DRYDEPaerosol.C+AerosolWashout.C+GasWashout.C+GASABS.aC.sC)/HEIGHT.aC)*AREAFRAC.s1C</f>
        <v>4.9655651081310961E-5</v>
      </c>
      <c r="R496" s="452"/>
      <c r="S496" s="158"/>
    </row>
    <row r="497" spans="1:19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>
        <f>((DRYDEPaerosol.C+AerosolWashout.C+GasWashout.C+GASABS.aC.sC)/HEIGHT.aC)*AREAFRAC.s2C</f>
        <v>1.1034589129180211E-4</v>
      </c>
      <c r="N497" s="451">
        <f>((DRYDEPaerosol.C+AerosolWashout.C+GasWashout.C+GASABS.aC.sC)/HEIGHT.aC)*AREAFRAC.s2C</f>
        <v>1.1034589129180211E-4</v>
      </c>
      <c r="O497" s="451">
        <f>((DRYDEPaerosol.C+AerosolWashout.C+GasWashout.C+GASABS.aC.sC)/HEIGHT.aC)*AREAFRAC.s2C</f>
        <v>1.1034589129180211E-4</v>
      </c>
      <c r="P497" s="451">
        <f>((DRYDEPaerosol.C+AerosolWashout.C+GasWashout.C+GASABS.aC.sC)/HEIGHT.aC)*AREAFRAC.s2C</f>
        <v>1.1034589129180211E-4</v>
      </c>
      <c r="Q497" s="451">
        <f>((DRYDEPaerosol.C+AerosolWashout.C+GasWashout.C+GASABS.aC.sC)/HEIGHT.aC)*AREAFRAC.s2C</f>
        <v>1.1034589129180211E-4</v>
      </c>
      <c r="R497" s="452"/>
      <c r="S497" s="158"/>
    </row>
    <row r="498" spans="1:19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>
        <f>((DRYDEPaerosol.C+AerosolWashout.C+GasWashout.C+GASABS.aC.sC)/HEIGHT.aC)*AREAFRAC.s3C</f>
        <v>1.8390981881967017E-5</v>
      </c>
      <c r="N498" s="451">
        <f>((DRYDEPaerosol.C+AerosolWashout.C+GasWashout.C+GASABS.aC.sC)/HEIGHT.aC)*AREAFRAC.s3C</f>
        <v>1.8390981881967017E-5</v>
      </c>
      <c r="O498" s="451">
        <f>((DRYDEPaerosol.C+AerosolWashout.C+GasWashout.C+GASABS.aC.sC)/HEIGHT.aC)*AREAFRAC.s3C</f>
        <v>1.8390981881967017E-5</v>
      </c>
      <c r="P498" s="451">
        <f>((DRYDEPaerosol.C+AerosolWashout.C+GasWashout.C+GASABS.aC.sC)/HEIGHT.aC)*AREAFRAC.s3C</f>
        <v>1.8390981881967017E-5</v>
      </c>
      <c r="Q498" s="451">
        <f>((DRYDEPaerosol.C+AerosolWashout.C+GasWashout.C+GASABS.aC.sC)/HEIGHT.aC)*AREAFRAC.s3C</f>
        <v>1.8390981881967017E-5</v>
      </c>
      <c r="R498" s="452"/>
      <c r="S498" s="158"/>
    </row>
    <row r="499" spans="1:19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2"/>
      <c r="O499" s="452"/>
      <c r="P499" s="452"/>
      <c r="Q499" s="452"/>
      <c r="R499" s="452"/>
      <c r="S499" s="158"/>
    </row>
    <row r="500" spans="1:19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2"/>
      <c r="O500" s="452"/>
      <c r="P500" s="452"/>
      <c r="Q500" s="452"/>
      <c r="R500" s="452"/>
      <c r="S500" s="158"/>
    </row>
    <row r="501" spans="1:19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2"/>
      <c r="O501" s="452"/>
      <c r="P501" s="452"/>
      <c r="Q501" s="452"/>
      <c r="R501" s="452"/>
      <c r="S501" s="158"/>
    </row>
    <row r="502" spans="1:19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2"/>
      <c r="O502" s="452"/>
      <c r="P502" s="452"/>
      <c r="Q502" s="452"/>
      <c r="R502" s="452"/>
      <c r="S502" s="158"/>
    </row>
    <row r="503" spans="1:19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2"/>
      <c r="O503" s="452"/>
      <c r="P503" s="452"/>
      <c r="Q503" s="452"/>
      <c r="R503" s="452"/>
      <c r="S503" s="158"/>
    </row>
    <row r="504" spans="1:19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2"/>
      <c r="O504" s="452"/>
      <c r="P504" s="452"/>
      <c r="Q504" s="452"/>
      <c r="R504" s="452"/>
      <c r="S504" s="158"/>
    </row>
    <row r="505" spans="1:19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2"/>
      <c r="O505" s="452"/>
      <c r="P505" s="452"/>
      <c r="Q505" s="452"/>
      <c r="R505" s="452"/>
      <c r="S505" s="158"/>
    </row>
    <row r="506" spans="1:19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2"/>
      <c r="O506" s="452"/>
      <c r="P506" s="452"/>
      <c r="Q506" s="452"/>
      <c r="R506" s="452"/>
      <c r="S506" s="158"/>
    </row>
    <row r="507" spans="1:19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2"/>
      <c r="O507" s="452"/>
      <c r="P507" s="452"/>
      <c r="Q507" s="452"/>
      <c r="R507" s="452"/>
      <c r="S507" s="158"/>
    </row>
    <row r="508" spans="1:19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2"/>
      <c r="O508" s="452"/>
      <c r="P508" s="452"/>
      <c r="Q508" s="452"/>
      <c r="R508" s="452"/>
      <c r="S508" s="158"/>
    </row>
    <row r="509" spans="1:19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2"/>
      <c r="O509" s="452"/>
      <c r="P509" s="452"/>
      <c r="Q509" s="452"/>
      <c r="R509" s="452"/>
      <c r="S509" s="158"/>
    </row>
    <row r="510" spans="1:19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2"/>
      <c r="O510" s="452"/>
      <c r="P510" s="452"/>
      <c r="Q510" s="452"/>
      <c r="R510" s="452"/>
      <c r="S510" s="158"/>
    </row>
    <row r="511" spans="1:19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>
        <f>AEROSOLdeprate.C*FRaers.aC</f>
        <v>1.1874600574371856E-6</v>
      </c>
      <c r="R511" s="452"/>
      <c r="S511" s="158"/>
    </row>
    <row r="512" spans="1:19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>
        <f t="shared" ref="M512:Q512" si="11">(1-FRgas.aC)*COLLECTeff.C*RAINrate.C</f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>
        <f t="shared" si="11"/>
        <v>5.362503239759046E-6</v>
      </c>
      <c r="R512" s="452"/>
      <c r="S512" s="158"/>
    </row>
    <row r="513" spans="1:19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>
        <f t="shared" ref="M513:Q513" si="12">FRgas.aC*RAINrate.C/Kaw.C</f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>
        <f t="shared" si="12"/>
        <v>1.724260961560384E-6</v>
      </c>
      <c r="R513" s="452"/>
      <c r="S513" s="158"/>
    </row>
    <row r="514" spans="1:19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2"/>
      <c r="O514" s="452"/>
      <c r="P514" s="452"/>
      <c r="Q514" s="452"/>
      <c r="R514" s="452"/>
      <c r="S514" s="158"/>
    </row>
    <row r="515" spans="1:19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2"/>
      <c r="O515" s="452"/>
      <c r="P515" s="452"/>
      <c r="Q515" s="452"/>
      <c r="R515" s="452"/>
      <c r="S515" s="158"/>
    </row>
    <row r="516" spans="1:19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2"/>
      <c r="O516" s="452"/>
      <c r="P516" s="452"/>
      <c r="Q516" s="452"/>
      <c r="R516" s="452"/>
      <c r="S516" s="158"/>
    </row>
    <row r="517" spans="1:19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2"/>
      <c r="O517" s="452"/>
      <c r="P517" s="452"/>
      <c r="Q517" s="452"/>
      <c r="R517" s="452"/>
      <c r="S517" s="158"/>
    </row>
    <row r="518" spans="1:19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2"/>
      <c r="O518" s="452"/>
      <c r="P518" s="452"/>
      <c r="Q518" s="452"/>
      <c r="R518" s="452"/>
      <c r="S518" s="158"/>
    </row>
    <row r="519" spans="1:19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2"/>
      <c r="O519" s="452"/>
      <c r="P519" s="452"/>
      <c r="Q519" s="452"/>
      <c r="R519" s="452"/>
      <c r="S519" s="158"/>
    </row>
    <row r="520" spans="1:19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2"/>
      <c r="O520" s="452"/>
      <c r="P520" s="452"/>
      <c r="Q520" s="452"/>
      <c r="R520" s="452"/>
      <c r="S520" s="158"/>
    </row>
    <row r="521" spans="1:19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2"/>
      <c r="O521" s="452"/>
      <c r="P521" s="452"/>
      <c r="Q521" s="452"/>
      <c r="R521" s="452"/>
      <c r="S521" s="158"/>
    </row>
    <row r="522" spans="1:19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2"/>
      <c r="O522" s="452"/>
      <c r="P522" s="452"/>
      <c r="Q522" s="452"/>
      <c r="R522" s="452"/>
      <c r="S522" s="158"/>
    </row>
    <row r="523" spans="1:19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2"/>
      <c r="O523" s="452"/>
      <c r="P523" s="452"/>
      <c r="Q523" s="452"/>
      <c r="R523" s="452"/>
      <c r="S523" s="158"/>
    </row>
    <row r="524" spans="1:19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2"/>
      <c r="O524" s="452"/>
      <c r="P524" s="452"/>
      <c r="Q524" s="452"/>
      <c r="R524" s="452"/>
      <c r="S524" s="158"/>
    </row>
    <row r="525" spans="1:19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2"/>
      <c r="O525" s="452"/>
      <c r="P525" s="452"/>
      <c r="Q525" s="452"/>
      <c r="R525" s="452"/>
      <c r="S525" s="158"/>
    </row>
    <row r="526" spans="1:19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2"/>
      <c r="O526" s="452"/>
      <c r="P526" s="452"/>
      <c r="Q526" s="452"/>
      <c r="R526" s="452"/>
      <c r="S526" s="158"/>
    </row>
    <row r="527" spans="1:19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>
        <v>1.1468924229780271E-8</v>
      </c>
      <c r="N527" s="452">
        <v>1.1468924229780271E-8</v>
      </c>
      <c r="O527" s="452">
        <v>1.1468924229780271E-8</v>
      </c>
      <c r="P527" s="452">
        <v>1.1468924229780271E-8</v>
      </c>
      <c r="Q527" s="452"/>
      <c r="R527" s="452">
        <v>1.1468924229780271E-8</v>
      </c>
      <c r="S527" s="158"/>
    </row>
    <row r="528" spans="1:19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>
        <v>1</v>
      </c>
      <c r="N528" s="452">
        <v>1</v>
      </c>
      <c r="O528" s="452">
        <v>1</v>
      </c>
      <c r="P528" s="452">
        <v>1</v>
      </c>
      <c r="Q528" s="452"/>
      <c r="R528" s="452">
        <v>1</v>
      </c>
      <c r="S528" s="158"/>
    </row>
    <row r="529" spans="1:19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>
        <v>1</v>
      </c>
      <c r="N529" s="452">
        <v>1</v>
      </c>
      <c r="O529" s="452">
        <v>1</v>
      </c>
      <c r="P529" s="452">
        <v>1</v>
      </c>
      <c r="Q529" s="452"/>
      <c r="R529" s="452">
        <v>1</v>
      </c>
      <c r="S529" s="158"/>
    </row>
    <row r="530" spans="1:19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>
        <v>1</v>
      </c>
      <c r="N530" s="452">
        <v>1</v>
      </c>
      <c r="O530" s="452">
        <v>1</v>
      </c>
      <c r="P530" s="452">
        <v>1</v>
      </c>
      <c r="Q530" s="452"/>
      <c r="R530" s="452">
        <v>1</v>
      </c>
      <c r="S530" s="158"/>
    </row>
    <row r="531" spans="1:19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60"/>
      <c r="O531" s="360"/>
      <c r="P531" s="360"/>
      <c r="Q531" s="360"/>
      <c r="R531" s="472"/>
      <c r="S531" s="158"/>
    </row>
    <row r="532" spans="1:19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2"/>
      <c r="O532" s="452"/>
      <c r="P532" s="452"/>
      <c r="Q532" s="452"/>
      <c r="R532" s="452"/>
      <c r="S532" s="158"/>
    </row>
    <row r="533" spans="1:19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2"/>
      <c r="O533" s="452"/>
      <c r="P533" s="452"/>
      <c r="Q533" s="452"/>
      <c r="R533" s="452"/>
      <c r="S533" s="158"/>
    </row>
    <row r="534" spans="1:19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2"/>
      <c r="O534" s="452"/>
      <c r="P534" s="452"/>
      <c r="Q534" s="452"/>
      <c r="R534" s="452"/>
      <c r="S534" s="158"/>
    </row>
    <row r="535" spans="1:19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2"/>
      <c r="O535" s="452"/>
      <c r="P535" s="452"/>
      <c r="Q535" s="452"/>
      <c r="R535" s="452"/>
      <c r="S535" s="158"/>
    </row>
    <row r="536" spans="1:19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2"/>
      <c r="O536" s="452"/>
      <c r="P536" s="452"/>
      <c r="Q536" s="452"/>
      <c r="R536" s="452"/>
      <c r="S536" s="158"/>
    </row>
    <row r="537" spans="1:19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2"/>
      <c r="O537" s="452"/>
      <c r="P537" s="452"/>
      <c r="Q537" s="452"/>
      <c r="R537" s="452"/>
      <c r="S537" s="158"/>
    </row>
    <row r="538" spans="1:19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2"/>
      <c r="O538" s="452"/>
      <c r="P538" s="452"/>
      <c r="Q538" s="452"/>
      <c r="R538" s="452"/>
      <c r="S538" s="158"/>
    </row>
    <row r="539" spans="1:19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2"/>
      <c r="O539" s="452"/>
      <c r="P539" s="452"/>
      <c r="Q539" s="452"/>
      <c r="R539" s="452"/>
      <c r="S539" s="158"/>
    </row>
    <row r="540" spans="1:19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2"/>
      <c r="O540" s="452"/>
      <c r="P540" s="452"/>
      <c r="Q540" s="452"/>
      <c r="R540" s="452"/>
      <c r="S540" s="158"/>
    </row>
    <row r="541" spans="1:19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2"/>
      <c r="O541" s="452"/>
      <c r="P541" s="452"/>
      <c r="Q541" s="452"/>
      <c r="R541" s="452"/>
      <c r="S541" s="158"/>
    </row>
    <row r="542" spans="1:19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2"/>
      <c r="O542" s="452"/>
      <c r="P542" s="452"/>
      <c r="Q542" s="452"/>
      <c r="R542" s="452"/>
      <c r="S542" s="158"/>
    </row>
    <row r="543" spans="1:19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2"/>
      <c r="O543" s="452"/>
      <c r="P543" s="452"/>
      <c r="Q543" s="452"/>
      <c r="R543" s="452"/>
      <c r="S543" s="158"/>
    </row>
    <row r="544" spans="1:19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158"/>
    </row>
    <row r="545" spans="1:19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2"/>
      <c r="O545" s="452"/>
      <c r="P545" s="452"/>
      <c r="Q545" s="452"/>
      <c r="R545" s="452"/>
      <c r="S545" s="158"/>
    </row>
    <row r="546" spans="1:19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2"/>
      <c r="O546" s="452"/>
      <c r="P546" s="452"/>
      <c r="Q546" s="452"/>
      <c r="R546" s="452"/>
      <c r="S546" s="158"/>
    </row>
    <row r="547" spans="1:19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2"/>
      <c r="O547" s="452"/>
      <c r="P547" s="452"/>
      <c r="Q547" s="452"/>
      <c r="R547" s="452"/>
      <c r="S547" s="158"/>
    </row>
    <row r="548" spans="1:19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2"/>
      <c r="O548" s="452"/>
      <c r="P548" s="452"/>
      <c r="Q548" s="452"/>
      <c r="R548" s="452"/>
      <c r="S548" s="158"/>
    </row>
    <row r="549" spans="1:19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2"/>
      <c r="O549" s="452"/>
      <c r="P549" s="452"/>
      <c r="Q549" s="452"/>
      <c r="R549" s="452"/>
      <c r="S549" s="158"/>
    </row>
    <row r="550" spans="1:19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2"/>
      <c r="O550" s="452"/>
      <c r="P550" s="452"/>
      <c r="Q550" s="452"/>
      <c r="R550" s="452"/>
      <c r="S550" s="158"/>
    </row>
    <row r="551" spans="1:19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2"/>
      <c r="O551" s="452"/>
      <c r="P551" s="452"/>
      <c r="Q551" s="452"/>
      <c r="R551" s="452"/>
      <c r="S551" s="158"/>
    </row>
    <row r="552" spans="1:19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2"/>
      <c r="O552" s="452"/>
      <c r="P552" s="452"/>
      <c r="Q552" s="452"/>
      <c r="R552" s="452"/>
      <c r="S552" s="158"/>
    </row>
    <row r="553" spans="1:19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60"/>
      <c r="O553" s="360"/>
      <c r="P553" s="360"/>
      <c r="Q553" s="360"/>
      <c r="R553" s="472"/>
      <c r="S553" s="158"/>
    </row>
    <row r="554" spans="1:19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2"/>
      <c r="O554" s="452"/>
      <c r="P554" s="452"/>
      <c r="Q554" s="452"/>
      <c r="R554" s="452"/>
      <c r="S554" s="158"/>
    </row>
    <row r="555" spans="1:19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2"/>
      <c r="O555" s="452"/>
      <c r="P555" s="452"/>
      <c r="Q555" s="452"/>
      <c r="R555" s="452"/>
      <c r="S555" s="158"/>
    </row>
    <row r="556" spans="1:19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2"/>
      <c r="O556" s="452"/>
      <c r="P556" s="452"/>
      <c r="Q556" s="452"/>
      <c r="R556" s="452"/>
      <c r="S556" s="158"/>
    </row>
    <row r="557" spans="1:19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2"/>
      <c r="O557" s="452"/>
      <c r="P557" s="452"/>
      <c r="Q557" s="452"/>
      <c r="R557" s="452"/>
      <c r="S557" s="158"/>
    </row>
    <row r="558" spans="1:19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2"/>
      <c r="O558" s="452"/>
      <c r="P558" s="452"/>
      <c r="Q558" s="452"/>
      <c r="R558" s="452"/>
      <c r="S558" s="158"/>
    </row>
    <row r="559" spans="1:19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2"/>
      <c r="O559" s="452"/>
      <c r="P559" s="452"/>
      <c r="Q559" s="452"/>
      <c r="R559" s="452"/>
      <c r="S559" s="158"/>
    </row>
    <row r="560" spans="1:19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2"/>
      <c r="O560" s="452"/>
      <c r="P560" s="452"/>
      <c r="Q560" s="452"/>
      <c r="R560" s="452"/>
      <c r="S560" s="158"/>
    </row>
    <row r="561" spans="1:19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2"/>
      <c r="O561" s="452"/>
      <c r="P561" s="452"/>
      <c r="Q561" s="452"/>
      <c r="R561" s="452"/>
      <c r="S561" s="158"/>
    </row>
    <row r="562" spans="1:19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2"/>
      <c r="O562" s="452"/>
      <c r="P562" s="452"/>
      <c r="Q562" s="452"/>
      <c r="R562" s="452"/>
      <c r="S562" s="158"/>
    </row>
    <row r="563" spans="1:19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2"/>
      <c r="O563" s="452"/>
      <c r="P563" s="452"/>
      <c r="Q563" s="452"/>
      <c r="R563" s="452"/>
      <c r="S563" s="158"/>
    </row>
    <row r="564" spans="1:19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2"/>
      <c r="O564" s="452"/>
      <c r="P564" s="452"/>
      <c r="Q564" s="452"/>
      <c r="R564" s="452"/>
      <c r="S564" s="158"/>
    </row>
    <row r="565" spans="1:19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2"/>
      <c r="O565" s="452"/>
      <c r="P565" s="452"/>
      <c r="Q565" s="452"/>
      <c r="R565" s="452"/>
      <c r="S565" s="158"/>
    </row>
    <row r="566" spans="1:19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>
        <v>1</v>
      </c>
      <c r="N566" s="452">
        <v>1</v>
      </c>
      <c r="O566" s="452">
        <v>1</v>
      </c>
      <c r="P566" s="452">
        <v>1</v>
      </c>
      <c r="Q566" s="452"/>
      <c r="R566" s="452">
        <v>1</v>
      </c>
      <c r="S566" s="158"/>
    </row>
    <row r="567" spans="1:19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>
        <v>1</v>
      </c>
      <c r="N567" s="452">
        <v>1</v>
      </c>
      <c r="O567" s="452">
        <v>1</v>
      </c>
      <c r="P567" s="452">
        <v>1</v>
      </c>
      <c r="Q567" s="452"/>
      <c r="R567" s="452">
        <v>1</v>
      </c>
      <c r="S567" s="158"/>
    </row>
    <row r="568" spans="1:19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>
        <v>1</v>
      </c>
      <c r="N568" s="452">
        <v>1</v>
      </c>
      <c r="O568" s="452">
        <v>1</v>
      </c>
      <c r="P568" s="452">
        <v>1</v>
      </c>
      <c r="Q568" s="452"/>
      <c r="R568" s="452">
        <v>1</v>
      </c>
      <c r="S568" s="158"/>
    </row>
    <row r="569" spans="1:19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282"/>
      <c r="O569" s="282"/>
      <c r="P569" s="282"/>
      <c r="Q569" s="282"/>
      <c r="R569" s="282"/>
      <c r="S569" s="158"/>
    </row>
    <row r="570" spans="1:19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/>
      <c r="N570" s="470"/>
      <c r="O570" s="470"/>
      <c r="P570" s="470"/>
      <c r="Q570" s="470"/>
      <c r="R570" s="470"/>
      <c r="S570" s="158"/>
    </row>
    <row r="571" spans="1:19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282"/>
      <c r="O571" s="282"/>
      <c r="P571" s="282"/>
      <c r="Q571" s="282"/>
      <c r="R571" s="282"/>
      <c r="S571" s="158"/>
    </row>
    <row r="572" spans="1:19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2"/>
      <c r="O572" s="452"/>
      <c r="P572" s="452"/>
      <c r="Q572" s="452"/>
      <c r="R572" s="452"/>
      <c r="S572" s="158"/>
    </row>
    <row r="573" spans="1:19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2"/>
      <c r="O573" s="452"/>
      <c r="P573" s="452"/>
      <c r="Q573" s="452"/>
      <c r="R573" s="452"/>
      <c r="S573" s="158"/>
    </row>
    <row r="574" spans="1:19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2"/>
      <c r="O574" s="452"/>
      <c r="P574" s="452"/>
      <c r="Q574" s="452"/>
      <c r="R574" s="452"/>
      <c r="S574" s="158"/>
    </row>
    <row r="575" spans="1:19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2"/>
      <c r="O575" s="452"/>
      <c r="P575" s="452"/>
      <c r="Q575" s="452"/>
      <c r="R575" s="452"/>
      <c r="S575" s="158"/>
    </row>
    <row r="576" spans="1:19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2"/>
      <c r="O576" s="452"/>
      <c r="P576" s="452"/>
      <c r="Q576" s="452"/>
      <c r="R576" s="452"/>
      <c r="S576" s="158"/>
    </row>
    <row r="577" spans="1:19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2"/>
      <c r="O577" s="452"/>
      <c r="P577" s="452"/>
      <c r="Q577" s="452"/>
      <c r="R577" s="452"/>
      <c r="S577" s="158"/>
    </row>
    <row r="578" spans="1:19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2"/>
      <c r="O578" s="452"/>
      <c r="P578" s="452"/>
      <c r="Q578" s="452"/>
      <c r="R578" s="452"/>
      <c r="S578" s="158"/>
    </row>
    <row r="579" spans="1:19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2"/>
      <c r="O579" s="452"/>
      <c r="P579" s="452"/>
      <c r="Q579" s="452"/>
      <c r="R579" s="452"/>
      <c r="S579" s="158"/>
    </row>
    <row r="580" spans="1:19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2"/>
      <c r="O580" s="452"/>
      <c r="P580" s="452"/>
      <c r="Q580" s="452"/>
      <c r="R580" s="452"/>
      <c r="S580" s="158"/>
    </row>
    <row r="581" spans="1:19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2"/>
      <c r="O581" s="452"/>
      <c r="P581" s="452"/>
      <c r="Q581" s="452"/>
      <c r="R581" s="452"/>
      <c r="S581" s="158"/>
    </row>
    <row r="582" spans="1:19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2"/>
      <c r="O582" s="452"/>
      <c r="P582" s="452"/>
      <c r="Q582" s="452"/>
      <c r="R582" s="452"/>
      <c r="S582" s="158"/>
    </row>
    <row r="583" spans="1:19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2"/>
      <c r="O583" s="452"/>
      <c r="P583" s="452"/>
      <c r="Q583" s="452"/>
      <c r="R583" s="452"/>
      <c r="S583" s="158"/>
    </row>
    <row r="584" spans="1:19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2"/>
      <c r="O584" s="452"/>
      <c r="P584" s="452"/>
      <c r="Q584" s="452"/>
      <c r="R584" s="452"/>
      <c r="S584" s="158"/>
    </row>
    <row r="585" spans="1:19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2"/>
      <c r="O585" s="452"/>
      <c r="P585" s="452"/>
      <c r="Q585" s="452"/>
      <c r="R585" s="452"/>
      <c r="S585" s="158"/>
    </row>
    <row r="586" spans="1:19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2"/>
      <c r="O586" s="452"/>
      <c r="P586" s="452"/>
      <c r="Q586" s="452"/>
      <c r="R586" s="452"/>
      <c r="S586" s="158"/>
    </row>
    <row r="587" spans="1:19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2"/>
      <c r="O587" s="452"/>
      <c r="P587" s="452"/>
      <c r="Q587" s="452"/>
      <c r="R587" s="452"/>
      <c r="S587" s="158"/>
    </row>
    <row r="588" spans="1:19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2"/>
      <c r="O588" s="452"/>
      <c r="P588" s="452"/>
      <c r="Q588" s="452"/>
      <c r="R588" s="452"/>
      <c r="S588" s="158"/>
    </row>
    <row r="589" spans="1:19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2"/>
      <c r="O589" s="452"/>
      <c r="P589" s="452"/>
      <c r="Q589" s="452"/>
      <c r="R589" s="452"/>
      <c r="S589" s="158"/>
    </row>
    <row r="590" spans="1:19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2"/>
      <c r="O590" s="452"/>
      <c r="P590" s="452"/>
      <c r="Q590" s="452"/>
      <c r="R590" s="452"/>
      <c r="S590" s="158"/>
    </row>
    <row r="591" spans="1:19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2"/>
      <c r="O591" s="452"/>
      <c r="P591" s="452"/>
      <c r="Q591" s="452"/>
      <c r="R591" s="452"/>
      <c r="S591" s="158"/>
    </row>
    <row r="592" spans="1:19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2"/>
      <c r="O592" s="452"/>
      <c r="P592" s="452"/>
      <c r="Q592" s="452"/>
      <c r="R592" s="452"/>
      <c r="S592" s="158"/>
    </row>
    <row r="593" spans="1:19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2"/>
      <c r="O593" s="452"/>
      <c r="P593" s="452"/>
      <c r="Q593" s="452"/>
      <c r="R593" s="452"/>
      <c r="S593" s="158"/>
    </row>
    <row r="594" spans="1:19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2"/>
      <c r="O594" s="452"/>
      <c r="P594" s="452"/>
      <c r="Q594" s="452"/>
      <c r="R594" s="452"/>
      <c r="S594" s="158"/>
    </row>
    <row r="595" spans="1:19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2"/>
      <c r="O595" s="452"/>
      <c r="P595" s="452"/>
      <c r="Q595" s="452"/>
      <c r="R595" s="452"/>
      <c r="S595" s="158"/>
    </row>
    <row r="596" spans="1:19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2"/>
      <c r="O596" s="452"/>
      <c r="P596" s="452"/>
      <c r="Q596" s="452"/>
      <c r="R596" s="452"/>
      <c r="S596" s="158"/>
    </row>
    <row r="597" spans="1:19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2"/>
      <c r="O597" s="452"/>
      <c r="P597" s="452"/>
      <c r="Q597" s="452"/>
      <c r="R597" s="452"/>
      <c r="S597" s="158"/>
    </row>
    <row r="598" spans="1:19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2"/>
      <c r="O598" s="452"/>
      <c r="P598" s="452"/>
      <c r="Q598" s="452"/>
      <c r="R598" s="452"/>
      <c r="S598" s="158"/>
    </row>
    <row r="599" spans="1:19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2"/>
      <c r="O599" s="452"/>
      <c r="P599" s="452"/>
      <c r="Q599" s="452"/>
      <c r="R599" s="452"/>
      <c r="S599" s="158"/>
    </row>
    <row r="600" spans="1:19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>
        <v>1</v>
      </c>
      <c r="N600" s="452">
        <v>1</v>
      </c>
      <c r="O600" s="452">
        <v>1</v>
      </c>
      <c r="P600" s="452">
        <v>1</v>
      </c>
      <c r="Q600" s="452"/>
      <c r="R600" s="452">
        <v>1</v>
      </c>
      <c r="S600" s="158"/>
    </row>
    <row r="601" spans="1:19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>
        <v>1</v>
      </c>
      <c r="N601" s="452">
        <v>1</v>
      </c>
      <c r="O601" s="452">
        <v>1</v>
      </c>
      <c r="P601" s="452">
        <v>1</v>
      </c>
      <c r="Q601" s="452"/>
      <c r="R601" s="452">
        <v>1</v>
      </c>
      <c r="S601" s="158"/>
    </row>
    <row r="602" spans="1:19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>
        <v>1</v>
      </c>
      <c r="N602" s="452">
        <v>1</v>
      </c>
      <c r="O602" s="452">
        <v>1</v>
      </c>
      <c r="P602" s="452">
        <v>1</v>
      </c>
      <c r="Q602" s="452"/>
      <c r="R602" s="452">
        <v>1</v>
      </c>
      <c r="S602" s="158"/>
    </row>
    <row r="603" spans="1:19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471"/>
      <c r="O603" s="471"/>
      <c r="P603" s="471"/>
      <c r="Q603" s="471"/>
      <c r="R603" s="471"/>
      <c r="S603" s="158"/>
    </row>
    <row r="604" spans="1:19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282"/>
      <c r="O604" s="282"/>
      <c r="P604" s="282"/>
      <c r="Q604" s="282"/>
      <c r="R604" s="282"/>
      <c r="S604" s="158"/>
    </row>
    <row r="605" spans="1:19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282"/>
      <c r="O605" s="282"/>
      <c r="P605" s="282"/>
      <c r="Q605" s="282"/>
      <c r="R605" s="282"/>
      <c r="S605" s="158"/>
    </row>
    <row r="606" spans="1:19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282"/>
      <c r="O606" s="282"/>
      <c r="P606" s="282"/>
      <c r="Q606" s="282"/>
      <c r="R606" s="282"/>
      <c r="S606" s="158"/>
    </row>
    <row r="607" spans="1:19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/>
      <c r="N607" s="470"/>
      <c r="O607" s="470"/>
      <c r="P607" s="470"/>
      <c r="Q607" s="470"/>
      <c r="R607" s="470"/>
      <c r="S607" s="158"/>
    </row>
    <row r="608" spans="1:19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282"/>
      <c r="O608" s="282"/>
      <c r="P608" s="282"/>
      <c r="Q608" s="282"/>
      <c r="R608" s="282"/>
      <c r="S608" s="158"/>
    </row>
    <row r="609" spans="1:19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2"/>
      <c r="O609" s="452"/>
      <c r="P609" s="452"/>
      <c r="Q609" s="452"/>
      <c r="R609" s="452"/>
      <c r="S609" s="158"/>
    </row>
    <row r="610" spans="1:19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2"/>
      <c r="O610" s="452"/>
      <c r="P610" s="452"/>
      <c r="Q610" s="452"/>
      <c r="R610" s="452"/>
      <c r="S610" s="158"/>
    </row>
    <row r="611" spans="1:19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2"/>
      <c r="O611" s="452"/>
      <c r="P611" s="452"/>
      <c r="Q611" s="452"/>
      <c r="R611" s="452"/>
      <c r="S611" s="158"/>
    </row>
    <row r="612" spans="1:19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2"/>
      <c r="O612" s="452"/>
      <c r="P612" s="452"/>
      <c r="Q612" s="452"/>
      <c r="R612" s="452"/>
      <c r="S612" s="158"/>
    </row>
    <row r="613" spans="1:19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2"/>
      <c r="O613" s="452"/>
      <c r="P613" s="452"/>
      <c r="Q613" s="452"/>
      <c r="R613" s="452"/>
      <c r="S613" s="158"/>
    </row>
    <row r="614" spans="1:19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2"/>
      <c r="O614" s="452"/>
      <c r="P614" s="452"/>
      <c r="Q614" s="452"/>
      <c r="R614" s="452"/>
      <c r="S614" s="158"/>
    </row>
    <row r="615" spans="1:19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2"/>
      <c r="O615" s="452"/>
      <c r="P615" s="452"/>
      <c r="Q615" s="452"/>
      <c r="R615" s="452"/>
      <c r="S615" s="158"/>
    </row>
    <row r="616" spans="1:19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2"/>
      <c r="O616" s="452"/>
      <c r="P616" s="452"/>
      <c r="Q616" s="452"/>
      <c r="R616" s="452"/>
      <c r="S616" s="158"/>
    </row>
    <row r="617" spans="1:19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2"/>
      <c r="O617" s="452"/>
      <c r="P617" s="452"/>
      <c r="Q617" s="452"/>
      <c r="R617" s="452"/>
      <c r="S617" s="158"/>
    </row>
    <row r="618" spans="1:19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>
        <v>990</v>
      </c>
      <c r="N618" s="452">
        <v>990</v>
      </c>
      <c r="O618" s="452"/>
      <c r="P618" s="452">
        <v>990</v>
      </c>
      <c r="Q618" s="452">
        <v>990</v>
      </c>
      <c r="R618" s="452">
        <v>990</v>
      </c>
      <c r="S618" s="158"/>
    </row>
    <row r="619" spans="1:19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>
        <v>10</v>
      </c>
      <c r="N619" s="452">
        <v>10</v>
      </c>
      <c r="O619" s="452"/>
      <c r="P619" s="452">
        <v>10</v>
      </c>
      <c r="Q619" s="452">
        <v>10</v>
      </c>
      <c r="R619" s="452">
        <v>10</v>
      </c>
      <c r="S619" s="158"/>
    </row>
    <row r="620" spans="1:19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2"/>
      <c r="O620" s="452"/>
      <c r="P620" s="452"/>
      <c r="Q620" s="452"/>
      <c r="R620" s="452"/>
      <c r="S620" s="158"/>
    </row>
    <row r="621" spans="1:19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2"/>
      <c r="O621" s="452"/>
      <c r="P621" s="452"/>
      <c r="Q621" s="452"/>
      <c r="R621" s="452"/>
      <c r="S621" s="158"/>
    </row>
    <row r="622" spans="1:19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/>
      <c r="S622" s="158"/>
    </row>
    <row r="623" spans="1:19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/>
      <c r="S623" s="158"/>
    </row>
    <row r="624" spans="1:19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2"/>
      <c r="O624" s="452"/>
      <c r="P624" s="452"/>
      <c r="Q624" s="452"/>
      <c r="R624" s="452"/>
      <c r="S624" s="158"/>
    </row>
    <row r="625" spans="1:19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2"/>
      <c r="O625" s="452"/>
      <c r="P625" s="452"/>
      <c r="Q625" s="452"/>
      <c r="R625" s="452"/>
      <c r="S625" s="158"/>
    </row>
    <row r="626" spans="1:19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2"/>
      <c r="O626" s="452"/>
      <c r="P626" s="452"/>
      <c r="Q626" s="452"/>
      <c r="R626" s="452"/>
      <c r="S626" s="158"/>
    </row>
    <row r="627" spans="1:19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2"/>
      <c r="O627" s="452"/>
      <c r="P627" s="452"/>
      <c r="Q627" s="452"/>
      <c r="R627" s="452"/>
      <c r="S627" s="158"/>
    </row>
    <row r="628" spans="1:19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2"/>
      <c r="O628" s="452"/>
      <c r="P628" s="452"/>
      <c r="Q628" s="452"/>
      <c r="R628" s="452"/>
      <c r="S628" s="158"/>
    </row>
    <row r="629" spans="1:19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60"/>
      <c r="O629" s="460"/>
      <c r="P629" s="460"/>
      <c r="Q629" s="460"/>
      <c r="R629" s="460"/>
      <c r="S629" s="158"/>
    </row>
    <row r="630" spans="1:19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2"/>
      <c r="O630" s="452"/>
      <c r="P630" s="452"/>
      <c r="Q630" s="452"/>
      <c r="R630" s="452"/>
      <c r="S630" s="158"/>
    </row>
    <row r="631" spans="1:19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2"/>
      <c r="O631" s="452"/>
      <c r="P631" s="452"/>
      <c r="Q631" s="452"/>
      <c r="R631" s="452"/>
      <c r="S631" s="158"/>
    </row>
    <row r="632" spans="1:19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2"/>
      <c r="O632" s="452"/>
      <c r="P632" s="452"/>
      <c r="Q632" s="452"/>
      <c r="R632" s="452"/>
      <c r="S632" s="158"/>
    </row>
    <row r="633" spans="1:19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282"/>
      <c r="O633" s="282"/>
      <c r="P633" s="282"/>
      <c r="Q633" s="282"/>
      <c r="R633" s="282"/>
      <c r="S633" s="158"/>
    </row>
    <row r="634" spans="1:19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2"/>
      <c r="O634" s="452"/>
      <c r="P634" s="452"/>
      <c r="Q634" s="452"/>
      <c r="R634" s="452"/>
      <c r="S634" s="158"/>
    </row>
    <row r="635" spans="1:19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2"/>
      <c r="O635" s="452"/>
      <c r="P635" s="452"/>
      <c r="Q635" s="452"/>
      <c r="R635" s="452"/>
      <c r="S635" s="158"/>
    </row>
    <row r="636" spans="1:19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2"/>
      <c r="O636" s="452"/>
      <c r="P636" s="452"/>
      <c r="Q636" s="452"/>
      <c r="R636" s="452"/>
      <c r="S636" s="158"/>
    </row>
    <row r="637" spans="1:19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2"/>
      <c r="O637" s="452"/>
      <c r="P637" s="452"/>
      <c r="Q637" s="452"/>
      <c r="R637" s="452"/>
      <c r="S637" s="158"/>
    </row>
    <row r="638" spans="1:19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>
        <v>9.9999999999999995E-21</v>
      </c>
      <c r="N638" s="452">
        <v>9.9999999999999995E-21</v>
      </c>
      <c r="O638" s="452"/>
      <c r="P638" s="452">
        <v>9.9999999999999995E-21</v>
      </c>
      <c r="Q638" s="452">
        <v>9.9999999999999995E-21</v>
      </c>
      <c r="R638" s="452">
        <v>9.9999999999999995E-21</v>
      </c>
      <c r="S638" s="158"/>
    </row>
    <row r="639" spans="1:19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2"/>
      <c r="O639" s="452"/>
      <c r="P639" s="452"/>
      <c r="Q639" s="452"/>
      <c r="R639" s="452"/>
      <c r="S639" s="158"/>
    </row>
    <row r="640" spans="1:19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>
        <v>50497524.691810384</v>
      </c>
      <c r="N640" s="452">
        <v>50497524.691810384</v>
      </c>
      <c r="O640" s="452"/>
      <c r="P640" s="452">
        <v>50497524.691810384</v>
      </c>
      <c r="Q640" s="452">
        <v>50497524.691810384</v>
      </c>
      <c r="R640" s="452">
        <v>50497524.691810384</v>
      </c>
      <c r="S640" s="158"/>
    </row>
    <row r="641" spans="1:19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>
        <v>94472218.138455927</v>
      </c>
      <c r="N641" s="452">
        <v>94472218.138455927</v>
      </c>
      <c r="O641" s="452"/>
      <c r="P641" s="452">
        <v>94472218.138455927</v>
      </c>
      <c r="Q641" s="452">
        <v>94472218.138455927</v>
      </c>
      <c r="R641" s="452">
        <v>94472218.138455927</v>
      </c>
      <c r="S641" s="158"/>
    </row>
    <row r="642" spans="1:19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2"/>
      <c r="O642" s="452"/>
      <c r="P642" s="452"/>
      <c r="Q642" s="452"/>
      <c r="R642" s="452"/>
      <c r="S642" s="158"/>
    </row>
    <row r="643" spans="1:19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2"/>
      <c r="O643" s="452"/>
      <c r="P643" s="452"/>
      <c r="Q643" s="452"/>
      <c r="R643" s="452"/>
      <c r="S643" s="158"/>
    </row>
    <row r="644" spans="1:19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2"/>
      <c r="O644" s="452"/>
      <c r="P644" s="452"/>
      <c r="Q644" s="452"/>
      <c r="R644" s="452"/>
      <c r="S644" s="158"/>
    </row>
    <row r="645" spans="1:19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2"/>
      <c r="O645" s="452"/>
      <c r="P645" s="452"/>
      <c r="Q645" s="452"/>
      <c r="R645" s="452"/>
      <c r="S645" s="158"/>
    </row>
    <row r="646" spans="1:19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2"/>
      <c r="O646" s="452"/>
      <c r="P646" s="452"/>
      <c r="Q646" s="452"/>
      <c r="R646" s="452"/>
      <c r="S646" s="158"/>
    </row>
    <row r="647" spans="1:19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282"/>
      <c r="O647" s="282"/>
      <c r="P647" s="282"/>
      <c r="Q647" s="282"/>
      <c r="R647" s="282"/>
      <c r="S647" s="158"/>
    </row>
    <row r="648" spans="1:19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/>
      <c r="N648" s="470"/>
      <c r="O648" s="470"/>
      <c r="P648" s="470"/>
      <c r="Q648" s="470"/>
      <c r="R648" s="470"/>
      <c r="S648" s="158"/>
    </row>
    <row r="649" spans="1:19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282"/>
      <c r="O649" s="282"/>
      <c r="P649" s="282"/>
      <c r="Q649" s="282"/>
      <c r="R649" s="282"/>
      <c r="S649" s="158"/>
    </row>
    <row r="650" spans="1:19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>
        <f t="shared" ref="M650:Q650" si="13">1-(0.0000258)/(IF(Tm&gt;298,EXP(-6.79*(1-Tm/298))*Pvap25*EXP((H0vap/8.314)*(1/298-1/TEMP.M)),Pvap25*EXP((H0vap/8.314)*(1/298-1/TEMP.M)))+(0.0000258))</f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>
        <f t="shared" si="13"/>
        <v>0.99692071229307011</v>
      </c>
      <c r="R650" s="452"/>
      <c r="S650" s="158"/>
    </row>
    <row r="651" spans="1:19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2"/>
      <c r="O651" s="452"/>
      <c r="P651" s="452"/>
      <c r="Q651" s="452"/>
      <c r="R651" s="452"/>
      <c r="S651" s="158"/>
    </row>
    <row r="652" spans="1:19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>
        <f t="shared" ref="M652:Q652" si="14">(0.0000258)/(IF(Tm&gt;298,EXP(-6.79*(1-Tm/298))*Pvap25*EXP((H0vap/8.314)*(1/298-1/TEMP.M)),Pvap25*EXP((H0vap/8.314)*(1/298-1/TEMP.M)))+(0.0000258))</f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>
        <f t="shared" si="14"/>
        <v>3.079287706929933E-3</v>
      </c>
      <c r="R652" s="452"/>
      <c r="S652" s="158"/>
    </row>
    <row r="653" spans="1:19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2"/>
      <c r="O653" s="452"/>
      <c r="P653" s="452"/>
      <c r="Q653" s="452"/>
      <c r="R653" s="452"/>
      <c r="S653" s="158"/>
    </row>
    <row r="654" spans="1:19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2"/>
      <c r="O654" s="452"/>
      <c r="P654" s="452"/>
      <c r="Q654" s="452"/>
      <c r="R654" s="452"/>
      <c r="S654" s="158"/>
    </row>
    <row r="655" spans="1:19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2"/>
      <c r="O655" s="452"/>
      <c r="P655" s="452"/>
      <c r="Q655" s="452"/>
      <c r="R655" s="452"/>
      <c r="S655" s="158"/>
    </row>
    <row r="656" spans="1:19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2"/>
      <c r="O656" s="452"/>
      <c r="P656" s="452"/>
      <c r="Q656" s="452"/>
      <c r="R656" s="452"/>
      <c r="S656" s="158"/>
    </row>
    <row r="657" spans="1:19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>
        <f t="shared" ref="M657:Q657" si="15">1/(1+Kp.susp2M*SUSP.w2M/1000+0.05*Kow*0.001/1000)</f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>
        <f t="shared" si="15"/>
        <v>0.43523010511689086</v>
      </c>
      <c r="R657" s="452"/>
      <c r="S657" s="158"/>
    </row>
    <row r="658" spans="1:19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>
        <f t="shared" ref="M658:Q658" si="16">1/(1+Kp.susp3M*SUSP.w3M/1000+0.05*Kow*0.001/1000)</f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>
        <f t="shared" si="16"/>
        <v>0.43523010511689086</v>
      </c>
      <c r="R658" s="452"/>
      <c r="S658" s="158"/>
    </row>
    <row r="659" spans="1:19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2"/>
      <c r="O659" s="452"/>
      <c r="P659" s="452"/>
      <c r="Q659" s="452"/>
      <c r="R659" s="452"/>
      <c r="S659" s="158"/>
    </row>
    <row r="660" spans="1:19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2"/>
      <c r="O660" s="452"/>
      <c r="P660" s="452"/>
      <c r="Q660" s="452"/>
      <c r="R660" s="452"/>
      <c r="S660" s="158"/>
    </row>
    <row r="661" spans="1:19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2"/>
      <c r="O661" s="452"/>
      <c r="P661" s="452"/>
      <c r="Q661" s="452"/>
      <c r="R661" s="452"/>
      <c r="S661" s="158"/>
    </row>
    <row r="662" spans="1:19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2"/>
      <c r="O662" s="452"/>
      <c r="P662" s="452"/>
      <c r="Q662" s="452"/>
      <c r="R662" s="452"/>
      <c r="S662" s="158"/>
    </row>
    <row r="663" spans="1:19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2"/>
      <c r="O663" s="452"/>
      <c r="P663" s="452"/>
      <c r="Q663" s="452"/>
      <c r="R663" s="452"/>
      <c r="S663" s="158"/>
    </row>
    <row r="664" spans="1:19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2"/>
      <c r="O664" s="452"/>
      <c r="P664" s="452"/>
      <c r="Q664" s="452"/>
      <c r="R664" s="452"/>
      <c r="S664" s="158"/>
    </row>
    <row r="665" spans="1:19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2"/>
      <c r="O665" s="452"/>
      <c r="P665" s="452"/>
      <c r="Q665" s="452"/>
      <c r="R665" s="452"/>
      <c r="S665" s="158"/>
    </row>
    <row r="666" spans="1:19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2"/>
      <c r="O666" s="452"/>
      <c r="P666" s="452"/>
      <c r="Q666" s="452"/>
      <c r="R666" s="452"/>
      <c r="S666" s="158"/>
    </row>
    <row r="667" spans="1:19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2"/>
      <c r="O667" s="452"/>
      <c r="P667" s="452"/>
      <c r="Q667" s="452"/>
      <c r="R667" s="452"/>
      <c r="S667" s="158"/>
    </row>
    <row r="668" spans="1:19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2"/>
      <c r="O668" s="452"/>
      <c r="P668" s="452"/>
      <c r="Q668" s="452"/>
      <c r="R668" s="452"/>
      <c r="S668" s="158"/>
    </row>
    <row r="669" spans="1:19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2"/>
      <c r="O669" s="452"/>
      <c r="P669" s="452"/>
      <c r="Q669" s="452"/>
      <c r="R669" s="452"/>
      <c r="S669" s="158"/>
    </row>
    <row r="670" spans="1:19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2"/>
      <c r="O670" s="452"/>
      <c r="P670" s="452"/>
      <c r="Q670" s="452"/>
      <c r="R670" s="452"/>
      <c r="S670" s="158"/>
    </row>
    <row r="671" spans="1:19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2"/>
      <c r="O671" s="452"/>
      <c r="P671" s="452"/>
      <c r="Q671" s="452"/>
      <c r="R671" s="452"/>
      <c r="S671" s="158"/>
    </row>
    <row r="672" spans="1:19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2"/>
      <c r="O672" s="452"/>
      <c r="P672" s="452"/>
      <c r="Q672" s="452"/>
      <c r="R672" s="452"/>
      <c r="S672" s="158"/>
    </row>
    <row r="673" spans="1:19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2"/>
      <c r="O673" s="452"/>
      <c r="P673" s="452"/>
      <c r="Q673" s="452"/>
      <c r="R673" s="452"/>
      <c r="S673" s="158"/>
    </row>
    <row r="674" spans="1:19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2"/>
      <c r="O674" s="452"/>
      <c r="P674" s="452"/>
      <c r="Q674" s="452"/>
      <c r="R674" s="452"/>
      <c r="S674" s="158"/>
    </row>
    <row r="675" spans="1:19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2"/>
      <c r="O675" s="452"/>
      <c r="P675" s="452"/>
      <c r="Q675" s="452"/>
      <c r="R675" s="452"/>
      <c r="S675" s="158"/>
    </row>
    <row r="676" spans="1:19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2"/>
      <c r="O676" s="452"/>
      <c r="P676" s="452"/>
      <c r="Q676" s="452"/>
      <c r="R676" s="452"/>
      <c r="S676" s="158"/>
    </row>
    <row r="677" spans="1:19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282"/>
      <c r="O677" s="282"/>
      <c r="P677" s="282"/>
      <c r="Q677" s="282"/>
      <c r="R677" s="282"/>
      <c r="S677" s="158"/>
    </row>
    <row r="678" spans="1:19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/>
      <c r="N678" s="470"/>
      <c r="O678" s="470"/>
      <c r="P678" s="470"/>
      <c r="Q678" s="470"/>
      <c r="R678" s="470"/>
      <c r="S678" s="158"/>
    </row>
    <row r="679" spans="1:19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282"/>
      <c r="O679" s="282"/>
      <c r="P679" s="282"/>
      <c r="Q679" s="282"/>
      <c r="R679" s="282"/>
      <c r="S679" s="158"/>
    </row>
    <row r="680" spans="1:19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1">
        <f>((DRYDEPaerosol.M+AerosolWashout.M+GasWashout.M+GASABS.aM.wM)/HEIGHT.aC)*AREAFRAC.wM</f>
        <v>1.8965411713239836E-4</v>
      </c>
      <c r="R680" s="452"/>
      <c r="S680" s="158"/>
    </row>
    <row r="681" spans="1:19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>
        <f>((DRYDEPaerosol.M+AerosolWashout.M+GasWashout.M+GASABS.aM.sM)/HEIGHT.aC)*AREAFRAC.sM</f>
        <v>1.8991301424298168E-4</v>
      </c>
      <c r="N681" s="452">
        <f>((DRYDEPaerosol.M+AerosolWashout.M+GasWashout.M+GASABS.aM.sM)/HEIGHT.aC)*AREAFRAC.sM</f>
        <v>1.8991301424298168E-4</v>
      </c>
      <c r="O681" s="452">
        <f>((DRYDEPaerosol.M+AerosolWashout.M+GasWashout.M+GASABS.aM.sM)/HEIGHT.aC)*AREAFRAC.sM</f>
        <v>1.8991301424298168E-4</v>
      </c>
      <c r="P681" s="452">
        <f>((DRYDEPaerosol.M+AerosolWashout.M+GasWashout.M+GASABS.aM.sM)/HEIGHT.aC)*AREAFRAC.sM</f>
        <v>1.8991301424298168E-4</v>
      </c>
      <c r="Q681" s="452">
        <f>((DRYDEPaerosol.M+AerosolWashout.M+GasWashout.M+GASABS.aM.sM)/HEIGHT.aC)*AREAFRAC.sM</f>
        <v>1.8991301424298168E-4</v>
      </c>
      <c r="R681" s="452"/>
      <c r="S681" s="158"/>
    </row>
    <row r="682" spans="1:19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2"/>
      <c r="O682" s="452"/>
      <c r="P682" s="452"/>
      <c r="Q682" s="452"/>
      <c r="R682" s="452"/>
      <c r="S682" s="158"/>
    </row>
    <row r="683" spans="1:19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2"/>
      <c r="O683" s="452"/>
      <c r="P683" s="452"/>
      <c r="Q683" s="452"/>
      <c r="R683" s="452"/>
      <c r="S683" s="158"/>
    </row>
    <row r="684" spans="1:19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2"/>
      <c r="O684" s="452"/>
      <c r="P684" s="452"/>
      <c r="Q684" s="452"/>
      <c r="R684" s="452"/>
      <c r="S684" s="158"/>
    </row>
    <row r="685" spans="1:19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2"/>
      <c r="O685" s="452"/>
      <c r="P685" s="452"/>
      <c r="Q685" s="452"/>
      <c r="R685" s="452"/>
      <c r="S685" s="158"/>
    </row>
    <row r="686" spans="1:19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2"/>
      <c r="O686" s="452"/>
      <c r="P686" s="452"/>
      <c r="Q686" s="452"/>
      <c r="R686" s="452"/>
      <c r="S686" s="158"/>
    </row>
    <row r="687" spans="1:19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2"/>
      <c r="O687" s="452"/>
      <c r="P687" s="452"/>
      <c r="Q687" s="452"/>
      <c r="R687" s="452"/>
      <c r="S687" s="158"/>
    </row>
    <row r="688" spans="1:19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2"/>
      <c r="O688" s="452"/>
      <c r="P688" s="452"/>
      <c r="Q688" s="452"/>
      <c r="R688" s="452"/>
      <c r="S688" s="158"/>
    </row>
    <row r="689" spans="1:19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2"/>
      <c r="O689" s="452"/>
      <c r="P689" s="452"/>
      <c r="Q689" s="452"/>
      <c r="R689" s="452"/>
      <c r="S689" s="158"/>
    </row>
    <row r="690" spans="1:19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>
        <f>AEROSOLdeprate.M*FRaers.aM</f>
        <v>1.1874600574371856E-6</v>
      </c>
      <c r="R690" s="452"/>
      <c r="S690" s="158"/>
    </row>
    <row r="691" spans="1:19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>
        <f t="shared" ref="M691:Q691" si="17">(1-FRgas.aM)*COLLECTeff.M*RAINrate.M</f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>
        <f t="shared" si="17"/>
        <v>5.362503239759046E-6</v>
      </c>
      <c r="R691" s="452"/>
      <c r="S691" s="158"/>
    </row>
    <row r="692" spans="1:19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>
        <f t="shared" ref="M692:Q692" si="18">FRgas.aM*RAINrate.M/Kaw.M</f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>
        <f t="shared" si="18"/>
        <v>1.724260961560384E-6</v>
      </c>
      <c r="R692" s="452"/>
      <c r="S692" s="158"/>
    </row>
    <row r="693" spans="1:19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2"/>
      <c r="O693" s="452"/>
      <c r="P693" s="452"/>
      <c r="Q693" s="452"/>
      <c r="R693" s="452"/>
      <c r="S693" s="158"/>
    </row>
    <row r="694" spans="1:19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2"/>
      <c r="O694" s="452"/>
      <c r="P694" s="452"/>
      <c r="Q694" s="452"/>
      <c r="R694" s="452"/>
      <c r="S694" s="158"/>
    </row>
    <row r="695" spans="1:19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2"/>
      <c r="O695" s="452"/>
      <c r="P695" s="452"/>
      <c r="Q695" s="452"/>
      <c r="R695" s="452"/>
      <c r="S695" s="158"/>
    </row>
    <row r="696" spans="1:19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2"/>
      <c r="O696" s="452"/>
      <c r="P696" s="452"/>
      <c r="Q696" s="452"/>
      <c r="R696" s="452"/>
      <c r="S696" s="158"/>
    </row>
    <row r="697" spans="1:19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2"/>
      <c r="O697" s="452"/>
      <c r="P697" s="452"/>
      <c r="Q697" s="452"/>
      <c r="R697" s="452"/>
      <c r="S697" s="158"/>
    </row>
    <row r="698" spans="1:19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2"/>
      <c r="O698" s="452"/>
      <c r="P698" s="452"/>
      <c r="Q698" s="452"/>
      <c r="R698" s="452"/>
      <c r="S698" s="158"/>
    </row>
    <row r="699" spans="1:19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2"/>
      <c r="O699" s="452"/>
      <c r="P699" s="452"/>
      <c r="Q699" s="452"/>
      <c r="R699" s="452"/>
      <c r="S699" s="158"/>
    </row>
    <row r="700" spans="1:19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2"/>
      <c r="O700" s="452"/>
      <c r="P700" s="452"/>
      <c r="Q700" s="452"/>
      <c r="R700" s="452"/>
      <c r="S700" s="158"/>
    </row>
    <row r="701" spans="1:19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2"/>
      <c r="O701" s="452"/>
      <c r="P701" s="452"/>
      <c r="Q701" s="452"/>
      <c r="R701" s="452"/>
      <c r="S701" s="158"/>
    </row>
    <row r="702" spans="1:19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2"/>
      <c r="O702" s="452"/>
      <c r="P702" s="452"/>
      <c r="Q702" s="452"/>
      <c r="R702" s="452"/>
      <c r="S702" s="158"/>
    </row>
    <row r="703" spans="1:19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2"/>
      <c r="O703" s="452"/>
      <c r="P703" s="452"/>
      <c r="Q703" s="452"/>
      <c r="R703" s="452"/>
      <c r="S703" s="158"/>
    </row>
    <row r="704" spans="1:19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>
        <v>1.1468924229780271E-8</v>
      </c>
      <c r="N704" s="452">
        <v>1.1468924229780271E-8</v>
      </c>
      <c r="O704" s="452">
        <v>1.1468924229780271E-8</v>
      </c>
      <c r="P704" s="452">
        <v>1.1468924229780271E-8</v>
      </c>
      <c r="Q704" s="452"/>
      <c r="R704" s="452">
        <v>1.1468924229780271E-8</v>
      </c>
      <c r="S704" s="158"/>
    </row>
    <row r="705" spans="1:19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>
        <v>1</v>
      </c>
      <c r="N705" s="452">
        <v>1</v>
      </c>
      <c r="O705" s="452">
        <v>1</v>
      </c>
      <c r="P705" s="452">
        <v>1</v>
      </c>
      <c r="Q705" s="452"/>
      <c r="R705" s="452">
        <v>1</v>
      </c>
      <c r="S705" s="158"/>
    </row>
    <row r="706" spans="1:19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60"/>
      <c r="O706" s="460"/>
      <c r="P706" s="460"/>
      <c r="Q706" s="460"/>
      <c r="R706" s="460"/>
      <c r="S706" s="158"/>
    </row>
    <row r="707" spans="1:19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2"/>
      <c r="O707" s="452"/>
      <c r="P707" s="452"/>
      <c r="Q707" s="452"/>
      <c r="R707" s="452"/>
      <c r="S707" s="158"/>
    </row>
    <row r="708" spans="1:19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2"/>
      <c r="O708" s="452"/>
      <c r="P708" s="452"/>
      <c r="Q708" s="452"/>
      <c r="R708" s="452"/>
      <c r="S708" s="158"/>
    </row>
    <row r="709" spans="1:19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2"/>
      <c r="O709" s="452"/>
      <c r="P709" s="452"/>
      <c r="Q709" s="452"/>
      <c r="R709" s="452"/>
      <c r="S709" s="158"/>
    </row>
    <row r="710" spans="1:19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2"/>
      <c r="O710" s="452"/>
      <c r="P710" s="452"/>
      <c r="Q710" s="452"/>
      <c r="R710" s="452"/>
      <c r="S710" s="158"/>
    </row>
    <row r="711" spans="1:19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2"/>
      <c r="O711" s="452"/>
      <c r="P711" s="452"/>
      <c r="Q711" s="452"/>
      <c r="R711" s="452"/>
      <c r="S711" s="158"/>
    </row>
    <row r="712" spans="1:19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2"/>
      <c r="O712" s="452"/>
      <c r="P712" s="452"/>
      <c r="Q712" s="452"/>
      <c r="R712" s="452"/>
      <c r="S712" s="158"/>
    </row>
    <row r="713" spans="1:19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2"/>
      <c r="O713" s="452"/>
      <c r="P713" s="452"/>
      <c r="Q713" s="452"/>
      <c r="R713" s="452"/>
      <c r="S713" s="158"/>
    </row>
    <row r="714" spans="1:19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2"/>
      <c r="O714" s="452"/>
      <c r="P714" s="452"/>
      <c r="Q714" s="452"/>
      <c r="R714" s="452"/>
      <c r="S714" s="158"/>
    </row>
    <row r="715" spans="1:19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2"/>
      <c r="O715" s="452"/>
      <c r="P715" s="452"/>
      <c r="Q715" s="452"/>
      <c r="R715" s="452"/>
      <c r="S715" s="158"/>
    </row>
    <row r="716" spans="1:19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2"/>
      <c r="O716" s="452"/>
      <c r="P716" s="452"/>
      <c r="Q716" s="452"/>
      <c r="R716" s="452"/>
      <c r="S716" s="158"/>
    </row>
    <row r="717" spans="1:19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2"/>
      <c r="O717" s="452"/>
      <c r="P717" s="452"/>
      <c r="Q717" s="452"/>
      <c r="R717" s="452"/>
      <c r="S717" s="158"/>
    </row>
    <row r="718" spans="1:19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2"/>
      <c r="O718" s="452"/>
      <c r="P718" s="452"/>
      <c r="Q718" s="452"/>
      <c r="R718" s="452"/>
      <c r="S718" s="158"/>
    </row>
    <row r="719" spans="1:19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60"/>
      <c r="O719" s="460"/>
      <c r="P719" s="460"/>
      <c r="Q719" s="460"/>
      <c r="R719" s="460"/>
      <c r="S719" s="158"/>
    </row>
    <row r="720" spans="1:19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2"/>
      <c r="O720" s="452"/>
      <c r="P720" s="452"/>
      <c r="Q720" s="452"/>
      <c r="R720" s="452"/>
      <c r="S720" s="158"/>
    </row>
    <row r="721" spans="1:19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2"/>
      <c r="O721" s="452"/>
      <c r="P721" s="452"/>
      <c r="Q721" s="452"/>
      <c r="R721" s="452"/>
      <c r="S721" s="158"/>
    </row>
    <row r="722" spans="1:19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2"/>
      <c r="O722" s="452"/>
      <c r="P722" s="452"/>
      <c r="Q722" s="452"/>
      <c r="R722" s="452"/>
      <c r="S722" s="158"/>
    </row>
    <row r="723" spans="1:19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>
        <v>1</v>
      </c>
      <c r="N723" s="452">
        <v>1</v>
      </c>
      <c r="O723" s="452">
        <v>1</v>
      </c>
      <c r="P723" s="452">
        <v>1</v>
      </c>
      <c r="Q723" s="452"/>
      <c r="R723" s="452">
        <v>1</v>
      </c>
      <c r="S723" s="158"/>
    </row>
    <row r="724" spans="1:19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282"/>
      <c r="O724" s="282"/>
      <c r="P724" s="282"/>
      <c r="Q724" s="282"/>
      <c r="R724" s="282"/>
      <c r="S724" s="158"/>
    </row>
    <row r="725" spans="1:19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/>
      <c r="N725" s="470"/>
      <c r="O725" s="470"/>
      <c r="P725" s="470"/>
      <c r="Q725" s="470"/>
      <c r="R725" s="470"/>
      <c r="S725" s="158"/>
    </row>
    <row r="726" spans="1:19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282"/>
      <c r="O726" s="282"/>
      <c r="P726" s="282"/>
      <c r="Q726" s="282"/>
      <c r="R726" s="282"/>
      <c r="S726" s="158"/>
    </row>
    <row r="727" spans="1:19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2"/>
      <c r="O727" s="452"/>
      <c r="P727" s="452"/>
      <c r="Q727" s="452"/>
      <c r="R727" s="452"/>
      <c r="S727" s="158"/>
    </row>
    <row r="728" spans="1:19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2"/>
      <c r="O728" s="452"/>
      <c r="P728" s="452"/>
      <c r="Q728" s="452"/>
      <c r="R728" s="452"/>
      <c r="S728" s="158"/>
    </row>
    <row r="729" spans="1:19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2"/>
      <c r="O729" s="452"/>
      <c r="P729" s="452"/>
      <c r="Q729" s="452"/>
      <c r="R729" s="452"/>
      <c r="S729" s="158"/>
    </row>
    <row r="730" spans="1:19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2"/>
      <c r="O730" s="452"/>
      <c r="P730" s="452"/>
      <c r="Q730" s="452"/>
      <c r="R730" s="452"/>
      <c r="S730" s="158"/>
    </row>
    <row r="731" spans="1:19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2"/>
      <c r="O731" s="452"/>
      <c r="P731" s="452"/>
      <c r="Q731" s="452"/>
      <c r="R731" s="452"/>
      <c r="S731" s="158"/>
    </row>
    <row r="732" spans="1:19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2"/>
      <c r="O732" s="452"/>
      <c r="P732" s="452"/>
      <c r="Q732" s="452"/>
      <c r="R732" s="452"/>
      <c r="S732" s="158"/>
    </row>
    <row r="733" spans="1:19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2"/>
      <c r="O733" s="452"/>
      <c r="P733" s="452"/>
      <c r="Q733" s="452"/>
      <c r="R733" s="452"/>
      <c r="S733" s="158"/>
    </row>
    <row r="734" spans="1:19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2"/>
      <c r="O734" s="452"/>
      <c r="P734" s="452"/>
      <c r="Q734" s="452"/>
      <c r="R734" s="452"/>
      <c r="S734" s="158"/>
    </row>
    <row r="735" spans="1:19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2"/>
      <c r="O735" s="452"/>
      <c r="P735" s="452"/>
      <c r="Q735" s="452"/>
      <c r="R735" s="452"/>
      <c r="S735" s="158"/>
    </row>
    <row r="736" spans="1:19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2"/>
      <c r="O736" s="452"/>
      <c r="P736" s="452"/>
      <c r="Q736" s="452"/>
      <c r="R736" s="452"/>
      <c r="S736" s="158"/>
    </row>
    <row r="737" spans="1:19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2"/>
      <c r="O737" s="452"/>
      <c r="P737" s="452"/>
      <c r="Q737" s="452"/>
      <c r="R737" s="452"/>
      <c r="S737" s="158"/>
    </row>
    <row r="738" spans="1:19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2"/>
      <c r="O738" s="452"/>
      <c r="P738" s="452"/>
      <c r="Q738" s="452"/>
      <c r="R738" s="452"/>
      <c r="S738" s="158"/>
    </row>
    <row r="739" spans="1:19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2"/>
      <c r="O739" s="452"/>
      <c r="P739" s="452"/>
      <c r="Q739" s="452"/>
      <c r="R739" s="452"/>
      <c r="S739" s="158"/>
    </row>
    <row r="740" spans="1:19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2"/>
      <c r="O740" s="452"/>
      <c r="P740" s="452"/>
      <c r="Q740" s="452"/>
      <c r="R740" s="452"/>
      <c r="S740" s="158"/>
    </row>
    <row r="741" spans="1:19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2"/>
      <c r="O741" s="452"/>
      <c r="P741" s="452"/>
      <c r="Q741" s="452"/>
      <c r="R741" s="452"/>
      <c r="S741" s="158"/>
    </row>
    <row r="742" spans="1:19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2"/>
      <c r="O742" s="452"/>
      <c r="P742" s="452"/>
      <c r="Q742" s="452"/>
      <c r="R742" s="452"/>
      <c r="S742" s="158"/>
    </row>
    <row r="743" spans="1:19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2"/>
      <c r="O743" s="452"/>
      <c r="P743" s="452"/>
      <c r="Q743" s="452"/>
      <c r="R743" s="452"/>
      <c r="S743" s="158"/>
    </row>
    <row r="744" spans="1:19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>
        <v>1</v>
      </c>
      <c r="N744" s="452">
        <v>1</v>
      </c>
      <c r="O744" s="452">
        <v>1</v>
      </c>
      <c r="P744" s="452">
        <v>1</v>
      </c>
      <c r="Q744" s="452"/>
      <c r="R744" s="452">
        <v>1</v>
      </c>
      <c r="S744" s="158"/>
    </row>
    <row r="745" spans="1:19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471"/>
      <c r="O745" s="471"/>
      <c r="P745" s="471"/>
      <c r="Q745" s="471"/>
      <c r="R745" s="471"/>
      <c r="S745" s="158"/>
    </row>
    <row r="746" spans="1:19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282"/>
      <c r="O746" s="282"/>
      <c r="P746" s="282"/>
      <c r="Q746" s="282"/>
      <c r="R746" s="282"/>
      <c r="S746" s="158"/>
    </row>
    <row r="747" spans="1:19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282"/>
      <c r="O747" s="282"/>
      <c r="P747" s="282"/>
      <c r="Q747" s="282"/>
      <c r="R747" s="282"/>
      <c r="S747" s="158"/>
    </row>
    <row r="748" spans="1:19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282"/>
      <c r="O748" s="282"/>
      <c r="P748" s="282"/>
      <c r="Q748" s="282"/>
      <c r="R748" s="282"/>
      <c r="S748" s="158"/>
    </row>
    <row r="749" spans="1:19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282"/>
      <c r="O749" s="282"/>
      <c r="P749" s="282"/>
      <c r="Q749" s="282"/>
      <c r="R749" s="282"/>
      <c r="S749" s="158"/>
    </row>
    <row r="750" spans="1:19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/>
      <c r="N750" s="470"/>
      <c r="O750" s="470"/>
      <c r="P750" s="470"/>
      <c r="Q750" s="470"/>
      <c r="R750" s="470"/>
      <c r="S750" s="158"/>
    </row>
    <row r="751" spans="1:19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73"/>
      <c r="O751" s="473"/>
      <c r="P751" s="473"/>
      <c r="Q751" s="473"/>
      <c r="R751" s="473"/>
      <c r="S751" s="158"/>
    </row>
    <row r="752" spans="1:19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2"/>
      <c r="O752" s="452"/>
      <c r="P752" s="452"/>
      <c r="Q752" s="452"/>
      <c r="R752" s="452"/>
      <c r="S752" s="158"/>
    </row>
    <row r="753" spans="1:19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2"/>
      <c r="O753" s="452"/>
      <c r="P753" s="452"/>
      <c r="Q753" s="452"/>
      <c r="R753" s="452"/>
      <c r="S753" s="158"/>
    </row>
    <row r="754" spans="1:19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2"/>
      <c r="O754" s="452"/>
      <c r="P754" s="452"/>
      <c r="Q754" s="452"/>
      <c r="R754" s="452"/>
      <c r="S754" s="158"/>
    </row>
    <row r="755" spans="1:19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2"/>
      <c r="O755" s="452"/>
      <c r="P755" s="452"/>
      <c r="Q755" s="452"/>
      <c r="R755" s="452"/>
      <c r="S755" s="158"/>
    </row>
    <row r="756" spans="1:19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2"/>
      <c r="O756" s="452"/>
      <c r="P756" s="452"/>
      <c r="Q756" s="452"/>
      <c r="R756" s="452"/>
      <c r="S756" s="158"/>
    </row>
    <row r="757" spans="1:19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2"/>
      <c r="O757" s="452"/>
      <c r="P757" s="452"/>
      <c r="Q757" s="452"/>
      <c r="R757" s="452"/>
      <c r="S757" s="158"/>
    </row>
    <row r="758" spans="1:19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2"/>
      <c r="O758" s="452"/>
      <c r="P758" s="452"/>
      <c r="Q758" s="452"/>
      <c r="R758" s="452"/>
      <c r="S758" s="158"/>
    </row>
    <row r="759" spans="1:19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2"/>
      <c r="O759" s="452"/>
      <c r="P759" s="452"/>
      <c r="Q759" s="452"/>
      <c r="R759" s="452"/>
      <c r="S759" s="158"/>
    </row>
    <row r="760" spans="1:19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2"/>
      <c r="O760" s="452"/>
      <c r="P760" s="452"/>
      <c r="Q760" s="452"/>
      <c r="R760" s="452"/>
      <c r="S760" s="158"/>
    </row>
    <row r="761" spans="1:19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>
        <v>990</v>
      </c>
      <c r="N761" s="452">
        <v>990</v>
      </c>
      <c r="O761" s="452"/>
      <c r="P761" s="452">
        <v>990</v>
      </c>
      <c r="Q761" s="452">
        <v>990</v>
      </c>
      <c r="R761" s="452">
        <v>990</v>
      </c>
      <c r="S761" s="158"/>
    </row>
    <row r="762" spans="1:19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>
        <v>10</v>
      </c>
      <c r="N762" s="452">
        <v>10</v>
      </c>
      <c r="O762" s="452"/>
      <c r="P762" s="452">
        <v>10</v>
      </c>
      <c r="Q762" s="452">
        <v>10</v>
      </c>
      <c r="R762" s="452">
        <v>10</v>
      </c>
      <c r="S762" s="158"/>
    </row>
    <row r="763" spans="1:19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2"/>
      <c r="O763" s="452"/>
      <c r="P763" s="452"/>
      <c r="Q763" s="452"/>
      <c r="R763" s="452"/>
      <c r="S763" s="158"/>
    </row>
    <row r="764" spans="1:19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2"/>
      <c r="O764" s="452"/>
      <c r="P764" s="452"/>
      <c r="Q764" s="452"/>
      <c r="R764" s="452"/>
      <c r="S764" s="158"/>
    </row>
    <row r="765" spans="1:19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/>
      <c r="S765" s="158"/>
    </row>
    <row r="766" spans="1:19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/>
      <c r="S766" s="158"/>
    </row>
    <row r="767" spans="1:19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2"/>
      <c r="O767" s="452"/>
      <c r="P767" s="452"/>
      <c r="Q767" s="452"/>
      <c r="R767" s="452"/>
      <c r="S767" s="158"/>
    </row>
    <row r="768" spans="1:19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2"/>
      <c r="O768" s="452"/>
      <c r="P768" s="452"/>
      <c r="Q768" s="452"/>
      <c r="R768" s="452"/>
      <c r="S768" s="158"/>
    </row>
    <row r="769" spans="1:19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2"/>
      <c r="O769" s="452"/>
      <c r="P769" s="452"/>
      <c r="Q769" s="452"/>
      <c r="R769" s="452"/>
      <c r="S769" s="158"/>
    </row>
    <row r="770" spans="1:19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2"/>
      <c r="O770" s="452"/>
      <c r="P770" s="452"/>
      <c r="Q770" s="452"/>
      <c r="R770" s="452"/>
      <c r="S770" s="158"/>
    </row>
    <row r="771" spans="1:19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2"/>
      <c r="O771" s="452"/>
      <c r="P771" s="452"/>
      <c r="Q771" s="452"/>
      <c r="R771" s="452"/>
      <c r="S771" s="158"/>
    </row>
    <row r="772" spans="1:19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60"/>
      <c r="O772" s="460"/>
      <c r="P772" s="460"/>
      <c r="Q772" s="460"/>
      <c r="R772" s="460"/>
      <c r="S772" s="158"/>
    </row>
    <row r="773" spans="1:19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2"/>
      <c r="O773" s="452"/>
      <c r="P773" s="452"/>
      <c r="Q773" s="452"/>
      <c r="R773" s="452"/>
      <c r="S773" s="158"/>
    </row>
    <row r="774" spans="1:19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2"/>
      <c r="O774" s="452"/>
      <c r="P774" s="452"/>
      <c r="Q774" s="452"/>
      <c r="R774" s="452"/>
      <c r="S774" s="158"/>
    </row>
    <row r="775" spans="1:19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60"/>
      <c r="O775" s="460"/>
      <c r="P775" s="460"/>
      <c r="Q775" s="460"/>
      <c r="R775" s="460"/>
      <c r="S775" s="158"/>
    </row>
    <row r="776" spans="1:19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2"/>
      <c r="O776" s="452"/>
      <c r="P776" s="452"/>
      <c r="Q776" s="452"/>
      <c r="R776" s="452"/>
      <c r="S776" s="158"/>
    </row>
    <row r="777" spans="1:19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>
        <v>9.9999999999999995E-21</v>
      </c>
      <c r="N777" s="452">
        <v>9.9999999999999995E-21</v>
      </c>
      <c r="O777" s="452"/>
      <c r="P777" s="452">
        <v>9.9999999999999995E-21</v>
      </c>
      <c r="Q777" s="452">
        <v>9.9999999999999995E-21</v>
      </c>
      <c r="R777" s="452">
        <v>9.9999999999999995E-21</v>
      </c>
      <c r="S777" s="158"/>
    </row>
    <row r="778" spans="1:19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>
        <v>50497524.691810384</v>
      </c>
      <c r="N778" s="452">
        <v>50497524.691810384</v>
      </c>
      <c r="O778" s="452"/>
      <c r="P778" s="452">
        <v>50497524.691810384</v>
      </c>
      <c r="Q778" s="452">
        <v>50497524.691810384</v>
      </c>
      <c r="R778" s="452">
        <v>50497524.691810384</v>
      </c>
      <c r="S778" s="158"/>
    </row>
    <row r="779" spans="1:19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2"/>
      <c r="O779" s="452"/>
      <c r="P779" s="452"/>
      <c r="Q779" s="452"/>
      <c r="R779" s="452"/>
      <c r="S779" s="158"/>
    </row>
    <row r="780" spans="1:19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2"/>
      <c r="O780" s="452"/>
      <c r="P780" s="452"/>
      <c r="Q780" s="452"/>
      <c r="R780" s="452"/>
      <c r="S780" s="158"/>
    </row>
    <row r="781" spans="1:19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2"/>
      <c r="O781" s="452"/>
      <c r="P781" s="452"/>
      <c r="Q781" s="452"/>
      <c r="R781" s="452"/>
      <c r="S781" s="158"/>
    </row>
    <row r="782" spans="1:19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2"/>
      <c r="O782" s="452"/>
      <c r="P782" s="452"/>
      <c r="Q782" s="452"/>
      <c r="R782" s="452"/>
      <c r="S782" s="158"/>
    </row>
    <row r="783" spans="1:19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282"/>
      <c r="O783" s="282"/>
      <c r="P783" s="282"/>
      <c r="Q783" s="282"/>
      <c r="R783" s="282"/>
      <c r="S783" s="158"/>
    </row>
    <row r="784" spans="1:19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/>
      <c r="N784" s="470"/>
      <c r="O784" s="470"/>
      <c r="P784" s="470"/>
      <c r="Q784" s="470"/>
      <c r="R784" s="470"/>
      <c r="S784" s="158"/>
    </row>
    <row r="785" spans="1:19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282"/>
      <c r="O785" s="282"/>
      <c r="P785" s="282"/>
      <c r="Q785" s="282"/>
      <c r="R785" s="282"/>
      <c r="S785" s="158"/>
    </row>
    <row r="786" spans="1:19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>
        <f t="shared" ref="M786:Q786" si="19">1-(0.0000258)/(IF(Tm&gt;298,EXP(-6.79*(1-Tm/298))*Pvap25*EXP((H0vap/8.314)*(1/298-1/TEMP.A)),Pvap25*EXP((H0vap/8.314)*(1/298-1/TEMP.A)))+(0.0000258))</f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>
        <f t="shared" si="19"/>
        <v>0.94625317896422689</v>
      </c>
      <c r="R786" s="452"/>
      <c r="S786" s="158"/>
    </row>
    <row r="787" spans="1:19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2"/>
      <c r="O787" s="452"/>
      <c r="P787" s="452"/>
      <c r="Q787" s="452"/>
      <c r="R787" s="452"/>
      <c r="S787" s="158"/>
    </row>
    <row r="788" spans="1:19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>
        <f t="shared" ref="M788:Q788" si="20">(0.0000258)/(IF(Tm&gt;298,EXP(-6.79*(1-Tm/298))*Pvap25*EXP((H0vap/8.314)*(1/298-1/TEMP.A)),Pvap25*EXP((H0vap/8.314)*(1/298-1/TEMP.A)))+(0.0000258))</f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>
        <f t="shared" si="20"/>
        <v>5.3746821035773079E-2</v>
      </c>
      <c r="R788" s="452"/>
      <c r="S788" s="158"/>
    </row>
    <row r="789" spans="1:19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2"/>
      <c r="O789" s="452"/>
      <c r="P789" s="452"/>
      <c r="Q789" s="452"/>
      <c r="R789" s="452"/>
      <c r="S789" s="158"/>
    </row>
    <row r="790" spans="1:19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2"/>
      <c r="O790" s="452"/>
      <c r="P790" s="452"/>
      <c r="Q790" s="452"/>
      <c r="R790" s="452"/>
      <c r="S790" s="158"/>
    </row>
    <row r="791" spans="1:19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2"/>
      <c r="O791" s="452"/>
      <c r="P791" s="452"/>
      <c r="Q791" s="452"/>
      <c r="R791" s="452"/>
      <c r="S791" s="158"/>
    </row>
    <row r="792" spans="1:19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2"/>
      <c r="O792" s="452"/>
      <c r="P792" s="452"/>
      <c r="Q792" s="452"/>
      <c r="R792" s="452"/>
      <c r="S792" s="158"/>
    </row>
    <row r="793" spans="1:19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>
        <f t="shared" ref="M793:Q793" si="21">1/(1+Kp.susp2A*SUSP.w2A/1000+0.05*Kow*0.001/1000)</f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>
        <f t="shared" si="21"/>
        <v>0.43523010511689086</v>
      </c>
      <c r="R793" s="452"/>
      <c r="S793" s="158"/>
    </row>
    <row r="794" spans="1:19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>
        <f t="shared" ref="M794:Q794" si="22">1/(1+Kp.susp3A*SUSP.w3A/1000+0.05*Kow*0.001/1000)</f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>
        <f t="shared" si="22"/>
        <v>0.43523010511689086</v>
      </c>
      <c r="R794" s="452"/>
      <c r="S794" s="158"/>
    </row>
    <row r="795" spans="1:19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2"/>
      <c r="O795" s="452"/>
      <c r="P795" s="452"/>
      <c r="Q795" s="452"/>
      <c r="R795" s="452"/>
      <c r="S795" s="158"/>
    </row>
    <row r="796" spans="1:19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2"/>
      <c r="O796" s="452"/>
      <c r="P796" s="452"/>
      <c r="Q796" s="452"/>
      <c r="R796" s="452"/>
      <c r="S796" s="158"/>
    </row>
    <row r="797" spans="1:19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2"/>
      <c r="O797" s="452"/>
      <c r="P797" s="452"/>
      <c r="Q797" s="452"/>
      <c r="R797" s="452"/>
      <c r="S797" s="158"/>
    </row>
    <row r="798" spans="1:19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2"/>
      <c r="O798" s="452"/>
      <c r="P798" s="452"/>
      <c r="Q798" s="452"/>
      <c r="R798" s="452"/>
      <c r="S798" s="158"/>
    </row>
    <row r="799" spans="1:19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2"/>
      <c r="O799" s="452"/>
      <c r="P799" s="452"/>
      <c r="Q799" s="452"/>
      <c r="R799" s="452"/>
      <c r="S799" s="158"/>
    </row>
    <row r="800" spans="1:19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2"/>
      <c r="O800" s="452"/>
      <c r="P800" s="452"/>
      <c r="Q800" s="452"/>
      <c r="R800" s="452"/>
      <c r="S800" s="158"/>
    </row>
    <row r="801" spans="1:19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2"/>
      <c r="O801" s="452"/>
      <c r="P801" s="452"/>
      <c r="Q801" s="452"/>
      <c r="R801" s="452"/>
      <c r="S801" s="158"/>
    </row>
    <row r="802" spans="1:19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2"/>
      <c r="O802" s="452"/>
      <c r="P802" s="452"/>
      <c r="Q802" s="452"/>
      <c r="R802" s="452"/>
      <c r="S802" s="158"/>
    </row>
    <row r="803" spans="1:19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2"/>
      <c r="O803" s="452"/>
      <c r="P803" s="452"/>
      <c r="Q803" s="452"/>
      <c r="R803" s="452"/>
      <c r="S803" s="158"/>
    </row>
    <row r="804" spans="1:19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2"/>
      <c r="O804" s="452"/>
      <c r="P804" s="452"/>
      <c r="Q804" s="452"/>
      <c r="R804" s="452"/>
      <c r="S804" s="158"/>
    </row>
    <row r="805" spans="1:19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2"/>
      <c r="O805" s="452"/>
      <c r="P805" s="452"/>
      <c r="Q805" s="452"/>
      <c r="R805" s="452"/>
      <c r="S805" s="158"/>
    </row>
    <row r="806" spans="1:19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2"/>
      <c r="O806" s="452"/>
      <c r="P806" s="452"/>
      <c r="Q806" s="452"/>
      <c r="R806" s="452"/>
      <c r="S806" s="158"/>
    </row>
    <row r="807" spans="1:19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2"/>
      <c r="O807" s="452"/>
      <c r="P807" s="452"/>
      <c r="Q807" s="452"/>
      <c r="R807" s="452"/>
      <c r="S807" s="158"/>
    </row>
    <row r="808" spans="1:19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2"/>
      <c r="O808" s="452"/>
      <c r="P808" s="452"/>
      <c r="Q808" s="452"/>
      <c r="R808" s="452"/>
      <c r="S808" s="158"/>
    </row>
    <row r="809" spans="1:19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2"/>
      <c r="O809" s="452"/>
      <c r="P809" s="452"/>
      <c r="Q809" s="452"/>
      <c r="R809" s="452"/>
      <c r="S809" s="158"/>
    </row>
    <row r="810" spans="1:19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2"/>
      <c r="O810" s="452"/>
      <c r="P810" s="452"/>
      <c r="Q810" s="452"/>
      <c r="R810" s="452"/>
      <c r="S810" s="158"/>
    </row>
    <row r="811" spans="1:19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2"/>
      <c r="O811" s="452"/>
      <c r="P811" s="452"/>
      <c r="Q811" s="452"/>
      <c r="R811" s="452"/>
      <c r="S811" s="158"/>
    </row>
    <row r="812" spans="1:19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2"/>
      <c r="O812" s="452"/>
      <c r="P812" s="452"/>
      <c r="Q812" s="452"/>
      <c r="R812" s="452"/>
      <c r="S812" s="158"/>
    </row>
    <row r="813" spans="1:19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282"/>
      <c r="O813" s="282"/>
      <c r="P813" s="282"/>
      <c r="Q813" s="282"/>
      <c r="R813" s="282"/>
      <c r="S813" s="158"/>
    </row>
    <row r="814" spans="1:19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/>
      <c r="N814" s="470"/>
      <c r="O814" s="470"/>
      <c r="P814" s="470"/>
      <c r="Q814" s="470"/>
      <c r="R814" s="470"/>
      <c r="S814" s="158"/>
    </row>
    <row r="815" spans="1:19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282"/>
      <c r="O815" s="282"/>
      <c r="P815" s="282"/>
      <c r="Q815" s="282"/>
      <c r="R815" s="282"/>
      <c r="S815" s="158"/>
    </row>
    <row r="816" spans="1:19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1">
        <f>((DRYDEPaerosol.A+AerosolWashout.A+GasWashout.A+GASABS.aA.wA)/HEIGHT.aC)*AREAFRAC.wA</f>
        <v>9.6891797217399823E-4</v>
      </c>
      <c r="R816" s="452"/>
      <c r="S816" s="158"/>
    </row>
    <row r="817" spans="1:19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>
        <f>((DRYDEPaerosol.A+AerosolWashout.A+GasWashout.A+GASABS.aA.sA)/HEIGHT.aC)*AREAFRAC.sA</f>
        <v>6.4551646915743605E-4</v>
      </c>
      <c r="N817" s="451">
        <f>((DRYDEPaerosol.A+AerosolWashout.A+GasWashout.A+GASABS.aA.sA)/HEIGHT.aC)*AREAFRAC.sA</f>
        <v>6.4551646915743605E-4</v>
      </c>
      <c r="O817" s="451">
        <f>((DRYDEPaerosol.A+AerosolWashout.A+GasWashout.A+GASABS.aA.sA)/HEIGHT.aC)*AREAFRAC.sA</f>
        <v>6.4551646915743605E-4</v>
      </c>
      <c r="P817" s="451">
        <f>((DRYDEPaerosol.A+AerosolWashout.A+GasWashout.A+GASABS.aA.sA)/HEIGHT.aC)*AREAFRAC.sA</f>
        <v>6.4551646915743605E-4</v>
      </c>
      <c r="Q817" s="451">
        <f>((DRYDEPaerosol.A+AerosolWashout.A+GasWashout.A+GASABS.aA.sA)/HEIGHT.aC)*AREAFRAC.sA</f>
        <v>6.4551646915743605E-4</v>
      </c>
      <c r="R817" s="452"/>
      <c r="S817" s="158"/>
    </row>
    <row r="818" spans="1:19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2"/>
      <c r="O818" s="452"/>
      <c r="P818" s="452"/>
      <c r="Q818" s="452"/>
      <c r="R818" s="452"/>
      <c r="S818" s="158"/>
    </row>
    <row r="819" spans="1:19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2"/>
      <c r="O819" s="452"/>
      <c r="P819" s="452"/>
      <c r="Q819" s="452"/>
      <c r="R819" s="452"/>
      <c r="S819" s="158"/>
    </row>
    <row r="820" spans="1:19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2"/>
      <c r="O820" s="452"/>
      <c r="P820" s="452"/>
      <c r="Q820" s="452"/>
      <c r="R820" s="452"/>
      <c r="S820" s="158"/>
    </row>
    <row r="821" spans="1:19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2"/>
      <c r="O821" s="452"/>
      <c r="P821" s="452"/>
      <c r="Q821" s="452"/>
      <c r="R821" s="452"/>
      <c r="S821" s="158"/>
    </row>
    <row r="822" spans="1:19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2"/>
      <c r="O822" s="452"/>
      <c r="P822" s="452"/>
      <c r="Q822" s="452"/>
      <c r="R822" s="452"/>
      <c r="S822" s="158"/>
    </row>
    <row r="823" spans="1:19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2"/>
      <c r="O823" s="452"/>
      <c r="P823" s="452"/>
      <c r="Q823" s="452"/>
      <c r="R823" s="452"/>
      <c r="S823" s="158"/>
    </row>
    <row r="824" spans="1:19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2"/>
      <c r="O824" s="452"/>
      <c r="P824" s="452"/>
      <c r="Q824" s="452"/>
      <c r="R824" s="452"/>
      <c r="S824" s="158"/>
    </row>
    <row r="825" spans="1:19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2"/>
      <c r="O825" s="452"/>
      <c r="P825" s="452"/>
      <c r="Q825" s="452"/>
      <c r="R825" s="452"/>
      <c r="S825" s="158"/>
    </row>
    <row r="826" spans="1:19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1">
        <f>AEROSOLdeprate.A*FRaers.aA</f>
        <v>1.1871944765529669E-6</v>
      </c>
      <c r="R826" s="452"/>
      <c r="S826" s="158"/>
    </row>
    <row r="827" spans="1:19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>
        <f t="shared" ref="M827:Q827" si="23">(1-FRgas.aA)*COLLECTeff.A*RAINrate.A</f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>
        <f t="shared" si="23"/>
        <v>2.2693534052438812E-6</v>
      </c>
      <c r="R827" s="452"/>
      <c r="S827" s="158"/>
    </row>
    <row r="828" spans="1:19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>
        <f t="shared" ref="M828:Q828" si="24">FRgas.aA*RAINrate.A/Kaw.A</f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>
        <f t="shared" si="24"/>
        <v>7.3399880915222688E-6</v>
      </c>
      <c r="R828" s="452"/>
      <c r="S828" s="158"/>
    </row>
    <row r="829" spans="1:19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2"/>
      <c r="O829" s="452"/>
      <c r="P829" s="452"/>
      <c r="Q829" s="452"/>
      <c r="R829" s="452"/>
      <c r="S829" s="158"/>
    </row>
    <row r="830" spans="1:19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2"/>
      <c r="O830" s="452"/>
      <c r="P830" s="452"/>
      <c r="Q830" s="452"/>
      <c r="R830" s="452"/>
      <c r="S830" s="158"/>
    </row>
    <row r="831" spans="1:19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2"/>
      <c r="O831" s="452"/>
      <c r="P831" s="452"/>
      <c r="Q831" s="452"/>
      <c r="R831" s="452"/>
      <c r="S831" s="158"/>
    </row>
    <row r="832" spans="1:19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2"/>
      <c r="O832" s="452"/>
      <c r="P832" s="452"/>
      <c r="Q832" s="452"/>
      <c r="R832" s="452"/>
      <c r="S832" s="158"/>
    </row>
    <row r="833" spans="1:19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2"/>
      <c r="O833" s="452"/>
      <c r="P833" s="452"/>
      <c r="Q833" s="452"/>
      <c r="R833" s="452"/>
      <c r="S833" s="158"/>
    </row>
    <row r="834" spans="1:19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2"/>
      <c r="O834" s="452"/>
      <c r="P834" s="452"/>
      <c r="Q834" s="452"/>
      <c r="R834" s="452"/>
      <c r="S834" s="158"/>
    </row>
    <row r="835" spans="1:19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2"/>
      <c r="O835" s="452"/>
      <c r="P835" s="452"/>
      <c r="Q835" s="452"/>
      <c r="R835" s="452"/>
      <c r="S835" s="158"/>
    </row>
    <row r="836" spans="1:19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2"/>
      <c r="O836" s="452"/>
      <c r="P836" s="452"/>
      <c r="Q836" s="452"/>
      <c r="R836" s="452"/>
      <c r="S836" s="158"/>
    </row>
    <row r="837" spans="1:19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2"/>
      <c r="O837" s="452"/>
      <c r="P837" s="452"/>
      <c r="Q837" s="452"/>
      <c r="R837" s="452"/>
      <c r="S837" s="158"/>
    </row>
    <row r="838" spans="1:19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2"/>
      <c r="O838" s="452"/>
      <c r="P838" s="452"/>
      <c r="Q838" s="452"/>
      <c r="R838" s="452"/>
      <c r="S838" s="158"/>
    </row>
    <row r="839" spans="1:19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2"/>
      <c r="O839" s="452"/>
      <c r="P839" s="452"/>
      <c r="Q839" s="452"/>
      <c r="R839" s="452"/>
      <c r="S839" s="158"/>
    </row>
    <row r="840" spans="1:19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>
        <v>2.799723603513301E-9</v>
      </c>
      <c r="N840" s="452">
        <v>2.799723603513301E-9</v>
      </c>
      <c r="O840" s="452">
        <v>2.799723603513301E-9</v>
      </c>
      <c r="P840" s="452">
        <v>2.799723603513301E-9</v>
      </c>
      <c r="Q840" s="452"/>
      <c r="R840" s="452">
        <v>2.799723603513301E-9</v>
      </c>
      <c r="S840" s="158"/>
    </row>
    <row r="841" spans="1:19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>
        <v>1</v>
      </c>
      <c r="N841" s="452">
        <v>1</v>
      </c>
      <c r="O841" s="452">
        <v>1</v>
      </c>
      <c r="P841" s="452">
        <v>1</v>
      </c>
      <c r="Q841" s="452"/>
      <c r="R841" s="452">
        <v>1</v>
      </c>
      <c r="S841" s="158"/>
    </row>
    <row r="842" spans="1:19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60"/>
      <c r="O842" s="460"/>
      <c r="P842" s="460"/>
      <c r="Q842" s="460"/>
      <c r="R842" s="460"/>
      <c r="S842" s="158"/>
    </row>
    <row r="843" spans="1:19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2"/>
      <c r="O843" s="452"/>
      <c r="P843" s="452"/>
      <c r="Q843" s="452"/>
      <c r="R843" s="452"/>
      <c r="S843" s="158"/>
    </row>
    <row r="844" spans="1:19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2"/>
      <c r="O844" s="452"/>
      <c r="P844" s="452"/>
      <c r="Q844" s="452"/>
      <c r="R844" s="452"/>
      <c r="S844" s="158"/>
    </row>
    <row r="845" spans="1:19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2"/>
      <c r="O845" s="452"/>
      <c r="P845" s="452"/>
      <c r="Q845" s="452"/>
      <c r="R845" s="452"/>
      <c r="S845" s="158"/>
    </row>
    <row r="846" spans="1:19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2"/>
      <c r="O846" s="452"/>
      <c r="P846" s="452"/>
      <c r="Q846" s="452"/>
      <c r="R846" s="452"/>
      <c r="S846" s="158"/>
    </row>
    <row r="847" spans="1:19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2"/>
      <c r="O847" s="452"/>
      <c r="P847" s="452"/>
      <c r="Q847" s="452"/>
      <c r="R847" s="452"/>
      <c r="S847" s="158"/>
    </row>
    <row r="848" spans="1:19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2"/>
      <c r="O848" s="452"/>
      <c r="P848" s="452"/>
      <c r="Q848" s="452"/>
      <c r="R848" s="452"/>
      <c r="S848" s="158"/>
    </row>
    <row r="849" spans="1:19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2"/>
      <c r="O849" s="452"/>
      <c r="P849" s="452"/>
      <c r="Q849" s="452"/>
      <c r="R849" s="452"/>
      <c r="S849" s="158"/>
    </row>
    <row r="850" spans="1:19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2"/>
      <c r="O850" s="452"/>
      <c r="P850" s="452"/>
      <c r="Q850" s="452"/>
      <c r="R850" s="452"/>
      <c r="S850" s="158"/>
    </row>
    <row r="851" spans="1:19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2"/>
      <c r="O851" s="452"/>
      <c r="P851" s="452"/>
      <c r="Q851" s="452"/>
      <c r="R851" s="452"/>
      <c r="S851" s="158"/>
    </row>
    <row r="852" spans="1:19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2"/>
      <c r="O852" s="452"/>
      <c r="P852" s="452"/>
      <c r="Q852" s="452"/>
      <c r="R852" s="452"/>
      <c r="S852" s="158"/>
    </row>
    <row r="853" spans="1:19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2"/>
      <c r="O853" s="452"/>
      <c r="P853" s="452"/>
      <c r="Q853" s="452"/>
      <c r="R853" s="452"/>
      <c r="S853" s="158"/>
    </row>
    <row r="854" spans="1:19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2"/>
      <c r="O854" s="452"/>
      <c r="P854" s="452"/>
      <c r="Q854" s="452"/>
      <c r="R854" s="452"/>
      <c r="S854" s="158"/>
    </row>
    <row r="855" spans="1:19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60"/>
      <c r="O855" s="460"/>
      <c r="P855" s="460"/>
      <c r="Q855" s="460"/>
      <c r="R855" s="460"/>
      <c r="S855" s="158"/>
    </row>
    <row r="856" spans="1:19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2"/>
      <c r="O856" s="452"/>
      <c r="P856" s="452"/>
      <c r="Q856" s="452"/>
      <c r="R856" s="452"/>
      <c r="S856" s="158"/>
    </row>
    <row r="857" spans="1:19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2"/>
      <c r="O857" s="452"/>
      <c r="P857" s="452"/>
      <c r="Q857" s="452"/>
      <c r="R857" s="452"/>
      <c r="S857" s="158"/>
    </row>
    <row r="858" spans="1:19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2"/>
      <c r="O858" s="452"/>
      <c r="P858" s="452"/>
      <c r="Q858" s="452"/>
      <c r="R858" s="452"/>
      <c r="S858" s="158"/>
    </row>
    <row r="859" spans="1:19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>
        <v>1</v>
      </c>
      <c r="N859" s="452">
        <v>1</v>
      </c>
      <c r="O859" s="452">
        <v>1</v>
      </c>
      <c r="P859" s="452">
        <v>1</v>
      </c>
      <c r="Q859" s="452"/>
      <c r="R859" s="452">
        <v>1</v>
      </c>
      <c r="S859" s="158"/>
    </row>
    <row r="860" spans="1:19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282"/>
      <c r="O860" s="282"/>
      <c r="P860" s="282"/>
      <c r="Q860" s="282"/>
      <c r="R860" s="282"/>
      <c r="S860" s="158"/>
    </row>
    <row r="861" spans="1:19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/>
      <c r="N861" s="470"/>
      <c r="O861" s="470"/>
      <c r="P861" s="470"/>
      <c r="Q861" s="470"/>
      <c r="R861" s="470"/>
      <c r="S861" s="158"/>
    </row>
    <row r="862" spans="1:19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282"/>
      <c r="O862" s="282"/>
      <c r="P862" s="282"/>
      <c r="Q862" s="282"/>
      <c r="R862" s="282"/>
      <c r="S862" s="158"/>
    </row>
    <row r="863" spans="1:19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2"/>
      <c r="O863" s="452"/>
      <c r="P863" s="452"/>
      <c r="Q863" s="452"/>
      <c r="R863" s="452"/>
      <c r="S863" s="158"/>
    </row>
    <row r="864" spans="1:19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2"/>
      <c r="O864" s="452"/>
      <c r="P864" s="452"/>
      <c r="Q864" s="452"/>
      <c r="R864" s="452"/>
      <c r="S864" s="158"/>
    </row>
    <row r="865" spans="1:19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2"/>
      <c r="O865" s="452"/>
      <c r="P865" s="452"/>
      <c r="Q865" s="452"/>
      <c r="R865" s="452"/>
      <c r="S865" s="158"/>
    </row>
    <row r="866" spans="1:19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2"/>
      <c r="O866" s="452"/>
      <c r="P866" s="452"/>
      <c r="Q866" s="452"/>
      <c r="R866" s="452"/>
      <c r="S866" s="158"/>
    </row>
    <row r="867" spans="1:19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2"/>
      <c r="O867" s="452"/>
      <c r="P867" s="452"/>
      <c r="Q867" s="452"/>
      <c r="R867" s="452"/>
      <c r="S867" s="158"/>
    </row>
    <row r="868" spans="1:19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2"/>
      <c r="O868" s="452"/>
      <c r="P868" s="452"/>
      <c r="Q868" s="452"/>
      <c r="R868" s="452"/>
      <c r="S868" s="158"/>
    </row>
    <row r="869" spans="1:19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2"/>
      <c r="O869" s="452"/>
      <c r="P869" s="452"/>
      <c r="Q869" s="452"/>
      <c r="R869" s="452"/>
      <c r="S869" s="158"/>
    </row>
    <row r="870" spans="1:19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2"/>
      <c r="O870" s="452"/>
      <c r="P870" s="452"/>
      <c r="Q870" s="452"/>
      <c r="R870" s="452"/>
      <c r="S870" s="158"/>
    </row>
    <row r="871" spans="1:19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2"/>
      <c r="O871" s="452"/>
      <c r="P871" s="452"/>
      <c r="Q871" s="452"/>
      <c r="R871" s="452"/>
      <c r="S871" s="158"/>
    </row>
    <row r="872" spans="1:19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2"/>
      <c r="O872" s="452"/>
      <c r="P872" s="452"/>
      <c r="Q872" s="452"/>
      <c r="R872" s="452"/>
      <c r="S872" s="158"/>
    </row>
    <row r="873" spans="1:19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2"/>
      <c r="O873" s="452"/>
      <c r="P873" s="452"/>
      <c r="Q873" s="452"/>
      <c r="R873" s="452"/>
      <c r="S873" s="158"/>
    </row>
    <row r="874" spans="1:19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2"/>
      <c r="O874" s="452"/>
      <c r="P874" s="452"/>
      <c r="Q874" s="452"/>
      <c r="R874" s="452"/>
      <c r="S874" s="158"/>
    </row>
    <row r="875" spans="1:19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2"/>
      <c r="O875" s="452"/>
      <c r="P875" s="452"/>
      <c r="Q875" s="452"/>
      <c r="R875" s="452"/>
      <c r="S875" s="158"/>
    </row>
    <row r="876" spans="1:19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2"/>
      <c r="O876" s="452"/>
      <c r="P876" s="452"/>
      <c r="Q876" s="452"/>
      <c r="R876" s="452"/>
      <c r="S876" s="158"/>
    </row>
    <row r="877" spans="1:19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2"/>
      <c r="O877" s="452"/>
      <c r="P877" s="452"/>
      <c r="Q877" s="452"/>
      <c r="R877" s="452"/>
      <c r="S877" s="158"/>
    </row>
    <row r="878" spans="1:19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2"/>
      <c r="O878" s="452"/>
      <c r="P878" s="452"/>
      <c r="Q878" s="452"/>
      <c r="R878" s="452"/>
      <c r="S878" s="158"/>
    </row>
    <row r="879" spans="1:19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2"/>
      <c r="O879" s="452"/>
      <c r="P879" s="452"/>
      <c r="Q879" s="452"/>
      <c r="R879" s="452"/>
      <c r="S879" s="158"/>
    </row>
    <row r="880" spans="1:19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>
        <v>1</v>
      </c>
      <c r="N880" s="452">
        <v>1</v>
      </c>
      <c r="O880" s="452">
        <v>1</v>
      </c>
      <c r="P880" s="452">
        <v>1</v>
      </c>
      <c r="Q880" s="452"/>
      <c r="R880" s="452">
        <v>1</v>
      </c>
      <c r="S880" s="158"/>
    </row>
    <row r="881" spans="1:19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471"/>
      <c r="O881" s="471"/>
      <c r="P881" s="471"/>
      <c r="Q881" s="471"/>
      <c r="R881" s="471"/>
      <c r="S881" s="158"/>
    </row>
    <row r="882" spans="1:19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282"/>
      <c r="O882" s="282"/>
      <c r="P882" s="282"/>
      <c r="Q882" s="282"/>
      <c r="R882" s="282"/>
      <c r="S882" s="158"/>
    </row>
    <row r="883" spans="1:19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282"/>
      <c r="O883" s="282"/>
      <c r="P883" s="282"/>
      <c r="Q883" s="282"/>
      <c r="R883" s="282"/>
      <c r="S883" s="158"/>
    </row>
    <row r="884" spans="1:19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282"/>
      <c r="O884" s="282"/>
      <c r="P884" s="282"/>
      <c r="Q884" s="282"/>
      <c r="R884" s="282"/>
      <c r="S884" s="158"/>
    </row>
    <row r="885" spans="1:19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282"/>
      <c r="O885" s="282"/>
      <c r="P885" s="282"/>
      <c r="Q885" s="282"/>
      <c r="R885" s="282"/>
      <c r="S885" s="158"/>
    </row>
    <row r="886" spans="1:19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/>
      <c r="N886" s="470"/>
      <c r="O886" s="470"/>
      <c r="P886" s="470"/>
      <c r="Q886" s="470"/>
      <c r="R886" s="470"/>
      <c r="S886" s="158"/>
    </row>
    <row r="887" spans="1:19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282"/>
      <c r="O887" s="282"/>
      <c r="P887" s="282"/>
      <c r="Q887" s="282"/>
      <c r="R887" s="282"/>
      <c r="S887" s="158"/>
    </row>
    <row r="888" spans="1:19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2"/>
      <c r="O888" s="452"/>
      <c r="P888" s="452"/>
      <c r="Q888" s="452"/>
      <c r="R888" s="452"/>
      <c r="S888" s="158"/>
    </row>
    <row r="889" spans="1:19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2"/>
      <c r="O889" s="452"/>
      <c r="P889" s="452"/>
      <c r="Q889" s="452"/>
      <c r="R889" s="452"/>
      <c r="S889" s="158"/>
    </row>
    <row r="890" spans="1:19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2"/>
      <c r="O890" s="452"/>
      <c r="P890" s="452"/>
      <c r="Q890" s="452"/>
      <c r="R890" s="452"/>
      <c r="S890" s="158"/>
    </row>
    <row r="891" spans="1:19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2"/>
      <c r="O891" s="452"/>
      <c r="P891" s="452"/>
      <c r="Q891" s="452"/>
      <c r="R891" s="452"/>
      <c r="S891" s="158"/>
    </row>
    <row r="892" spans="1:19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2"/>
      <c r="O892" s="452"/>
      <c r="P892" s="452"/>
      <c r="Q892" s="452"/>
      <c r="R892" s="452"/>
      <c r="S892" s="158"/>
    </row>
    <row r="893" spans="1:19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2"/>
      <c r="O893" s="452"/>
      <c r="P893" s="452"/>
      <c r="Q893" s="452"/>
      <c r="R893" s="452"/>
      <c r="S893" s="158"/>
    </row>
    <row r="894" spans="1:19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2"/>
      <c r="O894" s="452"/>
      <c r="P894" s="452"/>
      <c r="Q894" s="452"/>
      <c r="R894" s="452"/>
      <c r="S894" s="158"/>
    </row>
    <row r="895" spans="1:19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2"/>
      <c r="O895" s="452"/>
      <c r="P895" s="452"/>
      <c r="Q895" s="452"/>
      <c r="R895" s="452"/>
      <c r="S895" s="158"/>
    </row>
    <row r="896" spans="1:19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2"/>
      <c r="O896" s="452"/>
      <c r="P896" s="452"/>
      <c r="Q896" s="452"/>
      <c r="R896" s="452"/>
      <c r="S896" s="158"/>
    </row>
    <row r="897" spans="1:19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>
        <v>990</v>
      </c>
      <c r="N897" s="452">
        <v>990</v>
      </c>
      <c r="O897" s="452"/>
      <c r="P897" s="452">
        <v>990</v>
      </c>
      <c r="Q897" s="452">
        <v>990</v>
      </c>
      <c r="R897" s="452">
        <v>990</v>
      </c>
      <c r="S897" s="158"/>
    </row>
    <row r="898" spans="1:19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>
        <v>10</v>
      </c>
      <c r="N898" s="452">
        <v>10</v>
      </c>
      <c r="O898" s="452"/>
      <c r="P898" s="452">
        <v>10</v>
      </c>
      <c r="Q898" s="452">
        <v>10</v>
      </c>
      <c r="R898" s="452">
        <v>10</v>
      </c>
      <c r="S898" s="158"/>
    </row>
    <row r="899" spans="1:19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2"/>
      <c r="O899" s="452"/>
      <c r="P899" s="452"/>
      <c r="Q899" s="452"/>
      <c r="R899" s="452"/>
      <c r="S899" s="158"/>
    </row>
    <row r="900" spans="1:19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2"/>
      <c r="O900" s="452"/>
      <c r="P900" s="452"/>
      <c r="Q900" s="452"/>
      <c r="R900" s="452"/>
      <c r="S900" s="158"/>
    </row>
    <row r="901" spans="1:19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/>
      <c r="S901" s="158"/>
    </row>
    <row r="902" spans="1:19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/>
      <c r="S902" s="158"/>
    </row>
    <row r="903" spans="1:19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2"/>
      <c r="O903" s="452"/>
      <c r="P903" s="452"/>
      <c r="Q903" s="452"/>
      <c r="R903" s="452"/>
      <c r="S903" s="158"/>
    </row>
    <row r="904" spans="1:19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2"/>
      <c r="O904" s="452"/>
      <c r="P904" s="452"/>
      <c r="Q904" s="452"/>
      <c r="R904" s="452"/>
      <c r="S904" s="158"/>
    </row>
    <row r="905" spans="1:19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2"/>
      <c r="O905" s="452"/>
      <c r="P905" s="452"/>
      <c r="Q905" s="452"/>
      <c r="R905" s="452"/>
      <c r="S905" s="158"/>
    </row>
    <row r="906" spans="1:19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2"/>
      <c r="O906" s="452"/>
      <c r="P906" s="452"/>
      <c r="Q906" s="452"/>
      <c r="R906" s="452"/>
      <c r="S906" s="158"/>
    </row>
    <row r="907" spans="1:19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2"/>
      <c r="O907" s="452"/>
      <c r="P907" s="452"/>
      <c r="Q907" s="452"/>
      <c r="R907" s="452"/>
      <c r="S907" s="158"/>
    </row>
    <row r="908" spans="1:19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2"/>
      <c r="O908" s="452"/>
      <c r="P908" s="452"/>
      <c r="Q908" s="452"/>
      <c r="R908" s="452"/>
      <c r="S908" s="158"/>
    </row>
    <row r="909" spans="1:19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2"/>
      <c r="O909" s="452"/>
      <c r="P909" s="452"/>
      <c r="Q909" s="452"/>
      <c r="R909" s="452"/>
      <c r="S909" s="158"/>
    </row>
    <row r="910" spans="1:19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2"/>
      <c r="O910" s="452"/>
      <c r="P910" s="452"/>
      <c r="Q910" s="452"/>
      <c r="R910" s="452"/>
      <c r="S910" s="158"/>
    </row>
    <row r="911" spans="1:19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2"/>
      <c r="O911" s="452"/>
      <c r="P911" s="452"/>
      <c r="Q911" s="452"/>
      <c r="R911" s="452"/>
      <c r="S911" s="158"/>
    </row>
    <row r="912" spans="1:19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2"/>
      <c r="O912" s="452"/>
      <c r="P912" s="452"/>
      <c r="Q912" s="452"/>
      <c r="R912" s="452"/>
      <c r="S912" s="158"/>
    </row>
    <row r="913" spans="1:19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>
        <v>9.9999999999999995E-21</v>
      </c>
      <c r="N913" s="452">
        <v>9.9999999999999995E-21</v>
      </c>
      <c r="O913" s="452"/>
      <c r="P913" s="452">
        <v>9.9999999999999995E-21</v>
      </c>
      <c r="Q913" s="452">
        <v>9.9999999999999995E-21</v>
      </c>
      <c r="R913" s="452">
        <v>9.9999999999999995E-21</v>
      </c>
      <c r="S913" s="158"/>
    </row>
    <row r="914" spans="1:19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>
        <v>94472218.138455927</v>
      </c>
      <c r="N914" s="452">
        <v>94472218.138455927</v>
      </c>
      <c r="O914" s="452"/>
      <c r="P914" s="452">
        <v>94472218.138455927</v>
      </c>
      <c r="Q914" s="452">
        <v>94472218.138455927</v>
      </c>
      <c r="R914" s="452">
        <v>94472218.138455927</v>
      </c>
      <c r="S914" s="158"/>
    </row>
    <row r="915" spans="1:19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2"/>
      <c r="O915" s="452"/>
      <c r="P915" s="452"/>
      <c r="Q915" s="452"/>
      <c r="R915" s="452"/>
      <c r="S915" s="158"/>
    </row>
    <row r="916" spans="1:19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2"/>
      <c r="O916" s="452"/>
      <c r="P916" s="452"/>
      <c r="Q916" s="452"/>
      <c r="R916" s="452"/>
      <c r="S916" s="158"/>
    </row>
    <row r="917" spans="1:19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2"/>
      <c r="O917" s="452"/>
      <c r="P917" s="452"/>
      <c r="Q917" s="452"/>
      <c r="R917" s="452"/>
      <c r="S917" s="158"/>
    </row>
    <row r="918" spans="1:19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2"/>
      <c r="O918" s="452"/>
      <c r="P918" s="452"/>
      <c r="Q918" s="452"/>
      <c r="R918" s="452"/>
      <c r="S918" s="158"/>
    </row>
    <row r="919" spans="1:19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282"/>
      <c r="O919" s="282"/>
      <c r="P919" s="282"/>
      <c r="Q919" s="282"/>
      <c r="R919" s="282"/>
      <c r="S919" s="158"/>
    </row>
    <row r="920" spans="1:19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/>
      <c r="N920" s="470"/>
      <c r="O920" s="470"/>
      <c r="P920" s="470"/>
      <c r="Q920" s="470"/>
      <c r="R920" s="470"/>
      <c r="S920" s="158"/>
    </row>
    <row r="921" spans="1:19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282"/>
      <c r="O921" s="282"/>
      <c r="P921" s="282"/>
      <c r="Q921" s="282"/>
      <c r="R921" s="282"/>
      <c r="S921" s="158"/>
    </row>
    <row r="922" spans="1:19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>
        <f t="shared" ref="M922:Q922" si="25">1-(0.0000258)/(IF(Tm&gt;298,EXP(-6.79*(1-Tm/298))*Pvap25*EXP((H0vap/8.314)*(1/298-1/TEMP.T)),Pvap25*EXP((H0vap/8.314)*(1/298-1/TEMP.T)))+(0.0000258))</f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>
        <f t="shared" si="25"/>
        <v>0.99932388401536598</v>
      </c>
      <c r="R922" s="452"/>
      <c r="S922" s="158"/>
    </row>
    <row r="923" spans="1:19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2"/>
      <c r="O923" s="452"/>
      <c r="P923" s="452"/>
      <c r="Q923" s="452"/>
      <c r="R923" s="452"/>
      <c r="S923" s="158"/>
    </row>
    <row r="924" spans="1:19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>
        <f t="shared" ref="M924:Q924" si="26">(0.0000258)/(IF(Tm&gt;298,EXP(-6.79*(1-Tm/298))*Pvap25*EXP((H0vap/8.314)*(1/298-1/TEMP.T)),Pvap25*EXP((H0vap/8.314)*(1/298-1/TEMP.T)))+(0.0000258))</f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>
        <f t="shared" si="26"/>
        <v>6.7611598463397074E-4</v>
      </c>
      <c r="R924" s="452"/>
      <c r="S924" s="158"/>
    </row>
    <row r="925" spans="1:19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2"/>
      <c r="O925" s="452"/>
      <c r="P925" s="452"/>
      <c r="Q925" s="452"/>
      <c r="R925" s="452"/>
      <c r="S925" s="158"/>
    </row>
    <row r="926" spans="1:19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2"/>
      <c r="O926" s="452"/>
      <c r="P926" s="452"/>
      <c r="Q926" s="452"/>
      <c r="R926" s="452"/>
      <c r="S926" s="158"/>
    </row>
    <row r="927" spans="1:19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2"/>
      <c r="O927" s="452"/>
      <c r="P927" s="452"/>
      <c r="Q927" s="452"/>
      <c r="R927" s="452"/>
      <c r="S927" s="158"/>
    </row>
    <row r="928" spans="1:19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2"/>
      <c r="O928" s="452"/>
      <c r="P928" s="452"/>
      <c r="Q928" s="452"/>
      <c r="R928" s="452"/>
      <c r="S928" s="158"/>
    </row>
    <row r="929" spans="1:19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>
        <f t="shared" ref="M929:Q929" si="27">1/(1+Kp.susp2T*SUSP.w2T/1000+0.05*Kow*0.001/1000)</f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>
        <f t="shared" si="27"/>
        <v>0.43523010511689086</v>
      </c>
      <c r="R929" s="452"/>
      <c r="S929" s="158"/>
    </row>
    <row r="930" spans="1:19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>
        <f t="shared" ref="M930:Q930" si="28">1/(1+Kp.susp3T*SUSP.w3T/1000+0.05*Kow*0.001/1000)</f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>
        <f t="shared" si="28"/>
        <v>0.43523010511689086</v>
      </c>
      <c r="R930" s="452"/>
      <c r="S930" s="158"/>
    </row>
    <row r="931" spans="1:19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2"/>
      <c r="O931" s="452"/>
      <c r="P931" s="452"/>
      <c r="Q931" s="452"/>
      <c r="R931" s="452"/>
      <c r="S931" s="158"/>
    </row>
    <row r="932" spans="1:19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2"/>
      <c r="O932" s="452"/>
      <c r="P932" s="452"/>
      <c r="Q932" s="452"/>
      <c r="R932" s="452"/>
      <c r="S932" s="158"/>
    </row>
    <row r="933" spans="1:19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2"/>
      <c r="O933" s="452"/>
      <c r="P933" s="452"/>
      <c r="Q933" s="452"/>
      <c r="R933" s="452"/>
      <c r="S933" s="158"/>
    </row>
    <row r="934" spans="1:19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2"/>
      <c r="O934" s="452"/>
      <c r="P934" s="452"/>
      <c r="Q934" s="452"/>
      <c r="R934" s="452"/>
      <c r="S934" s="158"/>
    </row>
    <row r="935" spans="1:19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2"/>
      <c r="O935" s="452"/>
      <c r="P935" s="452"/>
      <c r="Q935" s="452"/>
      <c r="R935" s="452"/>
      <c r="S935" s="158"/>
    </row>
    <row r="936" spans="1:19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2"/>
      <c r="O936" s="452"/>
      <c r="P936" s="452"/>
      <c r="Q936" s="452"/>
      <c r="R936" s="452"/>
      <c r="S936" s="158"/>
    </row>
    <row r="937" spans="1:19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2"/>
      <c r="O937" s="452"/>
      <c r="P937" s="452"/>
      <c r="Q937" s="452"/>
      <c r="R937" s="452"/>
      <c r="S937" s="158"/>
    </row>
    <row r="938" spans="1:19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2"/>
      <c r="O938" s="452"/>
      <c r="P938" s="452"/>
      <c r="Q938" s="452"/>
      <c r="R938" s="452"/>
      <c r="S938" s="158"/>
    </row>
    <row r="939" spans="1:19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2"/>
      <c r="O939" s="452"/>
      <c r="P939" s="452"/>
      <c r="Q939" s="452"/>
      <c r="R939" s="452"/>
      <c r="S939" s="158"/>
    </row>
    <row r="940" spans="1:19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2"/>
      <c r="O940" s="452"/>
      <c r="P940" s="452"/>
      <c r="Q940" s="452"/>
      <c r="R940" s="452"/>
      <c r="S940" s="158"/>
    </row>
    <row r="941" spans="1:19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2"/>
      <c r="O941" s="452"/>
      <c r="P941" s="452"/>
      <c r="Q941" s="452"/>
      <c r="R941" s="452"/>
      <c r="S941" s="158"/>
    </row>
    <row r="942" spans="1:19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2"/>
      <c r="O942" s="452"/>
      <c r="P942" s="452"/>
      <c r="Q942" s="452"/>
      <c r="R942" s="452"/>
      <c r="S942" s="158"/>
    </row>
    <row r="943" spans="1:19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2"/>
      <c r="O943" s="452"/>
      <c r="P943" s="452"/>
      <c r="Q943" s="452"/>
      <c r="R943" s="452"/>
      <c r="S943" s="158"/>
    </row>
    <row r="944" spans="1:19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2"/>
      <c r="O944" s="452"/>
      <c r="P944" s="452"/>
      <c r="Q944" s="452"/>
      <c r="R944" s="452"/>
      <c r="S944" s="158"/>
    </row>
    <row r="945" spans="1:19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2"/>
      <c r="O945" s="452"/>
      <c r="P945" s="452"/>
      <c r="Q945" s="452"/>
      <c r="R945" s="452"/>
      <c r="S945" s="158"/>
    </row>
    <row r="946" spans="1:19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2"/>
      <c r="O946" s="452"/>
      <c r="P946" s="452"/>
      <c r="Q946" s="452"/>
      <c r="R946" s="452"/>
      <c r="S946" s="158"/>
    </row>
    <row r="947" spans="1:19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2"/>
      <c r="O947" s="452"/>
      <c r="P947" s="452"/>
      <c r="Q947" s="452"/>
      <c r="R947" s="452"/>
      <c r="S947" s="158"/>
    </row>
    <row r="948" spans="1:19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2"/>
      <c r="O948" s="452"/>
      <c r="P948" s="452"/>
      <c r="Q948" s="452"/>
      <c r="R948" s="452"/>
      <c r="S948" s="158"/>
    </row>
    <row r="949" spans="1:19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282"/>
      <c r="O949" s="282"/>
      <c r="P949" s="282"/>
      <c r="Q949" s="282"/>
      <c r="R949" s="282"/>
      <c r="S949" s="158"/>
    </row>
    <row r="950" spans="1:19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/>
      <c r="N950" s="470"/>
      <c r="O950" s="470"/>
      <c r="P950" s="470"/>
      <c r="Q950" s="470"/>
      <c r="R950" s="470"/>
      <c r="S950" s="158"/>
    </row>
    <row r="951" spans="1:19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282"/>
      <c r="O951" s="282"/>
      <c r="P951" s="282"/>
      <c r="Q951" s="282"/>
      <c r="R951" s="282"/>
      <c r="S951" s="158"/>
    </row>
    <row r="952" spans="1:19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1">
        <f>((DRYDEPaerosol.T+AerosolWashout.T+GasWashout.T+GASABS.aT.wT)/HEIGHT.aT)*AREAFRAC.wT</f>
        <v>1.357973643528593E-4</v>
      </c>
      <c r="R952" s="452"/>
      <c r="S952" s="158"/>
    </row>
    <row r="953" spans="1:19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>
        <f>((DRYDEPaerosol.T+AerosolWashout.T+GasWashout.T+GASABS.aT.sT)/HEIGHT.aT)*AREAFRAC.sT</f>
        <v>5.8409728985978159E-5</v>
      </c>
      <c r="N953" s="451">
        <f>((DRYDEPaerosol.T+AerosolWashout.T+GasWashout.T+GASABS.aT.sT)/HEIGHT.aT)*AREAFRAC.sT</f>
        <v>5.8409728985978159E-5</v>
      </c>
      <c r="O953" s="451">
        <f>((DRYDEPaerosol.T+AerosolWashout.T+GasWashout.T+GASABS.aT.sT)/HEIGHT.aT)*AREAFRAC.sT</f>
        <v>5.8409728985978159E-5</v>
      </c>
      <c r="P953" s="451">
        <f>((DRYDEPaerosol.T+AerosolWashout.T+GasWashout.T+GASABS.aT.sT)/HEIGHT.aT)*AREAFRAC.sT</f>
        <v>5.8409728985978159E-5</v>
      </c>
      <c r="Q953" s="451">
        <f>((DRYDEPaerosol.T+AerosolWashout.T+GasWashout.T+GASABS.aT.sT)/HEIGHT.aT)*AREAFRAC.sT</f>
        <v>5.8409728985978159E-5</v>
      </c>
      <c r="R953" s="452"/>
      <c r="S953" s="158"/>
    </row>
    <row r="954" spans="1:19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2"/>
      <c r="O954" s="452"/>
      <c r="P954" s="452"/>
      <c r="Q954" s="452"/>
      <c r="R954" s="452"/>
      <c r="S954" s="158"/>
    </row>
    <row r="955" spans="1:19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2"/>
      <c r="O955" s="452"/>
      <c r="P955" s="452"/>
      <c r="Q955" s="452"/>
      <c r="R955" s="452"/>
      <c r="S955" s="158"/>
    </row>
    <row r="956" spans="1:19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2"/>
      <c r="O956" s="452"/>
      <c r="P956" s="452"/>
      <c r="Q956" s="452"/>
      <c r="R956" s="452"/>
      <c r="S956" s="158"/>
    </row>
    <row r="957" spans="1:19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2"/>
      <c r="O957" s="452"/>
      <c r="P957" s="452"/>
      <c r="Q957" s="452"/>
      <c r="R957" s="452"/>
      <c r="S957" s="158"/>
    </row>
    <row r="958" spans="1:19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2"/>
      <c r="O958" s="452"/>
      <c r="P958" s="452"/>
      <c r="Q958" s="452"/>
      <c r="R958" s="452"/>
      <c r="S958" s="158"/>
    </row>
    <row r="959" spans="1:19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2"/>
      <c r="O959" s="452"/>
      <c r="P959" s="452"/>
      <c r="Q959" s="452"/>
      <c r="R959" s="452"/>
      <c r="S959" s="158"/>
    </row>
    <row r="960" spans="1:19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2"/>
      <c r="O960" s="452"/>
      <c r="P960" s="452"/>
      <c r="Q960" s="452"/>
      <c r="R960" s="452"/>
      <c r="S960" s="158"/>
    </row>
    <row r="961" spans="1:19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2"/>
      <c r="O961" s="452"/>
      <c r="P961" s="452"/>
      <c r="Q961" s="452"/>
      <c r="R961" s="452"/>
      <c r="S961" s="158"/>
    </row>
    <row r="962" spans="1:19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1">
        <f>AEROSOLdeprate.T*FRaers.aT</f>
        <v>1.187477682885775E-6</v>
      </c>
      <c r="R962" s="452"/>
      <c r="S962" s="158"/>
    </row>
    <row r="963" spans="1:19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>
        <f t="shared" ref="M963:Q963" si="29">(1-FRgas.aT)*COLLECTeff.T*RAINrate.T</f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>
        <f t="shared" si="29"/>
        <v>9.8367087594866123E-6</v>
      </c>
      <c r="R963" s="452"/>
      <c r="S963" s="158"/>
    </row>
    <row r="964" spans="1:19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>
        <f t="shared" ref="M964:Q964" si="30">FRgas.aT*RAINrate.T/Kaw.T</f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>
        <f t="shared" si="30"/>
        <v>8.8167484589995194E-7</v>
      </c>
      <c r="R964" s="452"/>
      <c r="S964" s="158"/>
    </row>
    <row r="965" spans="1:19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2"/>
      <c r="O965" s="452"/>
      <c r="P965" s="452"/>
      <c r="Q965" s="452"/>
      <c r="R965" s="452"/>
      <c r="S965" s="158"/>
    </row>
    <row r="966" spans="1:19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2"/>
      <c r="O966" s="452"/>
      <c r="P966" s="452"/>
      <c r="Q966" s="452"/>
      <c r="R966" s="452"/>
      <c r="S966" s="158"/>
    </row>
    <row r="967" spans="1:19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2"/>
      <c r="O967" s="452"/>
      <c r="P967" s="452"/>
      <c r="Q967" s="452"/>
      <c r="R967" s="452"/>
      <c r="S967" s="158"/>
    </row>
    <row r="968" spans="1:19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2"/>
      <c r="O968" s="452"/>
      <c r="P968" s="452"/>
      <c r="Q968" s="452"/>
      <c r="R968" s="452"/>
      <c r="S968" s="158"/>
    </row>
    <row r="969" spans="1:19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2"/>
      <c r="O969" s="452"/>
      <c r="P969" s="452"/>
      <c r="Q969" s="452"/>
      <c r="R969" s="452"/>
      <c r="S969" s="158"/>
    </row>
    <row r="970" spans="1:19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2"/>
      <c r="O970" s="452"/>
      <c r="P970" s="452"/>
      <c r="Q970" s="452"/>
      <c r="R970" s="452"/>
      <c r="S970" s="158"/>
    </row>
    <row r="971" spans="1:19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2"/>
      <c r="O971" s="452"/>
      <c r="P971" s="452"/>
      <c r="Q971" s="452"/>
      <c r="R971" s="452"/>
      <c r="S971" s="158"/>
    </row>
    <row r="972" spans="1:19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2"/>
      <c r="O972" s="452"/>
      <c r="P972" s="452"/>
      <c r="Q972" s="452"/>
      <c r="R972" s="452"/>
      <c r="S972" s="158"/>
    </row>
    <row r="973" spans="1:19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2"/>
      <c r="O973" s="452"/>
      <c r="P973" s="452"/>
      <c r="Q973" s="452"/>
      <c r="R973" s="452"/>
      <c r="S973" s="158"/>
    </row>
    <row r="974" spans="1:19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2"/>
      <c r="O974" s="452"/>
      <c r="P974" s="452"/>
      <c r="Q974" s="452"/>
      <c r="R974" s="452"/>
      <c r="S974" s="158"/>
    </row>
    <row r="975" spans="1:19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2"/>
      <c r="O975" s="452"/>
      <c r="P975" s="452"/>
      <c r="Q975" s="452"/>
      <c r="R975" s="452"/>
      <c r="S975" s="158"/>
    </row>
    <row r="976" spans="1:19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>
        <v>2.5308522804345867E-8</v>
      </c>
      <c r="N976" s="452">
        <v>2.5308522804345867E-8</v>
      </c>
      <c r="O976" s="452">
        <v>2.5308522804345867E-8</v>
      </c>
      <c r="P976" s="452">
        <v>2.5308522804345867E-8</v>
      </c>
      <c r="Q976" s="452"/>
      <c r="R976" s="452">
        <v>2.5308522804345867E-8</v>
      </c>
      <c r="S976" s="158"/>
    </row>
    <row r="977" spans="1:19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>
        <v>1</v>
      </c>
      <c r="N977" s="452">
        <v>1</v>
      </c>
      <c r="O977" s="452">
        <v>1</v>
      </c>
      <c r="P977" s="452">
        <v>1</v>
      </c>
      <c r="Q977" s="452"/>
      <c r="R977" s="452">
        <v>1</v>
      </c>
      <c r="S977" s="158"/>
    </row>
    <row r="978" spans="1:19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60"/>
      <c r="O978" s="460"/>
      <c r="P978" s="460"/>
      <c r="Q978" s="460"/>
      <c r="R978" s="460"/>
      <c r="S978" s="158"/>
    </row>
    <row r="979" spans="1:19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2"/>
      <c r="O979" s="452"/>
      <c r="P979" s="452"/>
      <c r="Q979" s="452"/>
      <c r="R979" s="452"/>
      <c r="S979" s="158"/>
    </row>
    <row r="980" spans="1:19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2"/>
      <c r="O980" s="452"/>
      <c r="P980" s="452"/>
      <c r="Q980" s="452"/>
      <c r="R980" s="452"/>
      <c r="S980" s="158"/>
    </row>
    <row r="981" spans="1:19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2"/>
      <c r="O981" s="452"/>
      <c r="P981" s="452"/>
      <c r="Q981" s="452"/>
      <c r="R981" s="452"/>
      <c r="S981" s="158"/>
    </row>
    <row r="982" spans="1:19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2"/>
      <c r="O982" s="452"/>
      <c r="P982" s="452"/>
      <c r="Q982" s="452"/>
      <c r="R982" s="452"/>
      <c r="S982" s="158"/>
    </row>
    <row r="983" spans="1:19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2"/>
      <c r="O983" s="452"/>
      <c r="P983" s="452"/>
      <c r="Q983" s="452"/>
      <c r="R983" s="452"/>
      <c r="S983" s="158"/>
    </row>
    <row r="984" spans="1:19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2"/>
      <c r="O984" s="452"/>
      <c r="P984" s="452"/>
      <c r="Q984" s="452"/>
      <c r="R984" s="452"/>
      <c r="S984" s="158"/>
    </row>
    <row r="985" spans="1:19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2"/>
      <c r="O985" s="452"/>
      <c r="P985" s="452"/>
      <c r="Q985" s="452"/>
      <c r="R985" s="452"/>
      <c r="S985" s="158"/>
    </row>
    <row r="986" spans="1:19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2"/>
      <c r="O986" s="452"/>
      <c r="P986" s="452"/>
      <c r="Q986" s="452"/>
      <c r="R986" s="452"/>
      <c r="S986" s="158"/>
    </row>
    <row r="987" spans="1:19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2"/>
      <c r="O987" s="452"/>
      <c r="P987" s="452"/>
      <c r="Q987" s="452"/>
      <c r="R987" s="452"/>
      <c r="S987" s="158"/>
    </row>
    <row r="988" spans="1:19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2"/>
      <c r="O988" s="452"/>
      <c r="P988" s="452"/>
      <c r="Q988" s="452"/>
      <c r="R988" s="452"/>
      <c r="S988" s="158"/>
    </row>
    <row r="989" spans="1:19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2"/>
      <c r="O989" s="452"/>
      <c r="P989" s="452"/>
      <c r="Q989" s="452"/>
      <c r="R989" s="452"/>
      <c r="S989" s="158"/>
    </row>
    <row r="990" spans="1:19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2"/>
      <c r="O990" s="452"/>
      <c r="P990" s="452"/>
      <c r="Q990" s="452"/>
      <c r="R990" s="452"/>
      <c r="S990" s="158"/>
    </row>
    <row r="991" spans="1:19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60"/>
      <c r="O991" s="460"/>
      <c r="P991" s="460"/>
      <c r="Q991" s="460"/>
      <c r="R991" s="460"/>
      <c r="S991" s="158"/>
    </row>
    <row r="992" spans="1:19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2"/>
      <c r="O992" s="452"/>
      <c r="P992" s="452"/>
      <c r="Q992" s="452"/>
      <c r="R992" s="452"/>
      <c r="S992" s="158"/>
    </row>
    <row r="993" spans="1:19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2"/>
      <c r="O993" s="452"/>
      <c r="P993" s="452"/>
      <c r="Q993" s="452"/>
      <c r="R993" s="452"/>
      <c r="S993" s="158"/>
    </row>
    <row r="994" spans="1:19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2"/>
      <c r="O994" s="452"/>
      <c r="P994" s="452"/>
      <c r="Q994" s="452"/>
      <c r="R994" s="452"/>
      <c r="S994" s="158"/>
    </row>
    <row r="995" spans="1:19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>
        <v>1</v>
      </c>
      <c r="N995" s="452">
        <v>1</v>
      </c>
      <c r="O995" s="452">
        <v>1</v>
      </c>
      <c r="P995" s="452">
        <v>1</v>
      </c>
      <c r="Q995" s="452"/>
      <c r="R995" s="452">
        <v>1</v>
      </c>
      <c r="S995" s="158"/>
    </row>
    <row r="996" spans="1:19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282"/>
      <c r="O996" s="282"/>
      <c r="P996" s="282"/>
      <c r="Q996" s="282"/>
      <c r="R996" s="282"/>
      <c r="S996" s="158"/>
    </row>
    <row r="997" spans="1:19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/>
      <c r="N997" s="470"/>
      <c r="O997" s="470"/>
      <c r="P997" s="470"/>
      <c r="Q997" s="470"/>
      <c r="R997" s="470"/>
      <c r="S997" s="158"/>
    </row>
    <row r="998" spans="1:19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282"/>
      <c r="O998" s="282"/>
      <c r="P998" s="282"/>
      <c r="Q998" s="282"/>
      <c r="R998" s="282"/>
      <c r="S998" s="158"/>
    </row>
    <row r="999" spans="1:19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2"/>
      <c r="O999" s="452"/>
      <c r="P999" s="452"/>
      <c r="Q999" s="452"/>
      <c r="R999" s="452"/>
      <c r="S999" s="158"/>
    </row>
    <row r="1000" spans="1:19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2"/>
      <c r="O1000" s="452"/>
      <c r="P1000" s="452"/>
      <c r="Q1000" s="452"/>
      <c r="R1000" s="452"/>
      <c r="S1000" s="158"/>
    </row>
    <row r="1001" spans="1:19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2"/>
      <c r="O1001" s="452"/>
      <c r="P1001" s="452"/>
      <c r="Q1001" s="452"/>
      <c r="R1001" s="452"/>
      <c r="S1001" s="158"/>
    </row>
    <row r="1002" spans="1:19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2"/>
      <c r="O1002" s="452"/>
      <c r="P1002" s="452"/>
      <c r="Q1002" s="452"/>
      <c r="R1002" s="452"/>
      <c r="S1002" s="158"/>
    </row>
    <row r="1003" spans="1:19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2"/>
      <c r="O1003" s="452"/>
      <c r="P1003" s="452"/>
      <c r="Q1003" s="452"/>
      <c r="R1003" s="452"/>
      <c r="S1003" s="158"/>
    </row>
    <row r="1004" spans="1:19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2"/>
      <c r="O1004" s="452"/>
      <c r="P1004" s="452"/>
      <c r="Q1004" s="452"/>
      <c r="R1004" s="452"/>
      <c r="S1004" s="158"/>
    </row>
    <row r="1005" spans="1:19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2"/>
      <c r="O1005" s="452"/>
      <c r="P1005" s="452"/>
      <c r="Q1005" s="452"/>
      <c r="R1005" s="452"/>
      <c r="S1005" s="158"/>
    </row>
    <row r="1006" spans="1:19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2"/>
      <c r="O1006" s="452"/>
      <c r="P1006" s="452"/>
      <c r="Q1006" s="452"/>
      <c r="R1006" s="452"/>
      <c r="S1006" s="158"/>
    </row>
    <row r="1007" spans="1:19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2"/>
      <c r="O1007" s="452"/>
      <c r="P1007" s="452"/>
      <c r="Q1007" s="452"/>
      <c r="R1007" s="452"/>
      <c r="S1007" s="158"/>
    </row>
    <row r="1008" spans="1:19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2"/>
      <c r="O1008" s="452"/>
      <c r="P1008" s="452"/>
      <c r="Q1008" s="452"/>
      <c r="R1008" s="452"/>
      <c r="S1008" s="158"/>
    </row>
    <row r="1009" spans="1:19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2"/>
      <c r="O1009" s="452"/>
      <c r="P1009" s="452"/>
      <c r="Q1009" s="452"/>
      <c r="R1009" s="452"/>
      <c r="S1009" s="158"/>
    </row>
    <row r="1010" spans="1:19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2"/>
      <c r="O1010" s="452"/>
      <c r="P1010" s="452"/>
      <c r="Q1010" s="452"/>
      <c r="R1010" s="452"/>
      <c r="S1010" s="158"/>
    </row>
    <row r="1011" spans="1:19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2"/>
      <c r="O1011" s="452"/>
      <c r="P1011" s="452"/>
      <c r="Q1011" s="452"/>
      <c r="R1011" s="452"/>
      <c r="S1011" s="158"/>
    </row>
    <row r="1012" spans="1:19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2"/>
      <c r="O1012" s="452"/>
      <c r="P1012" s="452"/>
      <c r="Q1012" s="452"/>
      <c r="R1012" s="452"/>
      <c r="S1012" s="158"/>
    </row>
    <row r="1013" spans="1:19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2"/>
      <c r="O1013" s="452"/>
      <c r="P1013" s="452"/>
      <c r="Q1013" s="452"/>
      <c r="R1013" s="452"/>
      <c r="S1013" s="158"/>
    </row>
    <row r="1014" spans="1:19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2"/>
      <c r="O1014" s="452"/>
      <c r="P1014" s="452"/>
      <c r="Q1014" s="452"/>
      <c r="R1014" s="452"/>
      <c r="S1014" s="158"/>
    </row>
    <row r="1015" spans="1:19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2"/>
      <c r="O1015" s="452"/>
      <c r="P1015" s="452"/>
      <c r="Q1015" s="452"/>
      <c r="R1015" s="452"/>
      <c r="S1015" s="158"/>
    </row>
    <row r="1016" spans="1:19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>
        <v>1</v>
      </c>
      <c r="N1016" s="452">
        <v>1</v>
      </c>
      <c r="O1016" s="452">
        <v>1</v>
      </c>
      <c r="P1016" s="452">
        <v>1</v>
      </c>
      <c r="Q1016" s="452"/>
      <c r="R1016" s="452">
        <v>1</v>
      </c>
      <c r="S1016" s="158"/>
    </row>
    <row r="1017" spans="1:19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362"/>
      <c r="O1017" s="362"/>
      <c r="P1017" s="362"/>
      <c r="Q1017" s="362"/>
      <c r="R1017" s="362"/>
      <c r="S1017" s="158"/>
    </row>
    <row r="1018" spans="1:19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60"/>
      <c r="O1018" s="360"/>
      <c r="P1018" s="360"/>
      <c r="Q1018" s="360"/>
      <c r="R1018" s="360"/>
      <c r="S1018" s="158"/>
    </row>
  </sheetData>
  <phoneticPr fontId="5" type="noConversion"/>
  <conditionalFormatting sqref="J341:R341">
    <cfRule type="cellIs" dxfId="152" priority="73" operator="equal">
      <formula>0</formula>
    </cfRule>
  </conditionalFormatting>
  <conditionalFormatting sqref="J343:R343">
    <cfRule type="cellIs" dxfId="151" priority="72" operator="equal">
      <formula>0</formula>
    </cfRule>
  </conditionalFormatting>
  <conditionalFormatting sqref="J517:R520">
    <cfRule type="cellIs" dxfId="150" priority="68" operator="equal">
      <formula>0</formula>
    </cfRule>
  </conditionalFormatting>
  <conditionalFormatting sqref="J532:R532">
    <cfRule type="cellIs" dxfId="149" priority="67" operator="equal">
      <formula>0</formula>
    </cfRule>
  </conditionalFormatting>
  <conditionalFormatting sqref="J535:R535">
    <cfRule type="cellIs" dxfId="148" priority="66" operator="equal">
      <formula>0</formula>
    </cfRule>
  </conditionalFormatting>
  <conditionalFormatting sqref="J538:R538">
    <cfRule type="cellIs" dxfId="147" priority="65" operator="equal">
      <formula>0</formula>
    </cfRule>
  </conditionalFormatting>
  <conditionalFormatting sqref="M703:P703 R703">
    <cfRule type="cellIs" dxfId="146" priority="58" operator="equal">
      <formula>0</formula>
    </cfRule>
  </conditionalFormatting>
  <conditionalFormatting sqref="M839:R839">
    <cfRule type="cellIs" dxfId="145" priority="55" operator="equal">
      <formula>0</formula>
    </cfRule>
  </conditionalFormatting>
  <conditionalFormatting sqref="M975:R975">
    <cfRule type="cellIs" dxfId="144" priority="52" operator="equal">
      <formula>0</formula>
    </cfRule>
  </conditionalFormatting>
  <conditionalFormatting sqref="M493:Q498">
    <cfRule type="cellIs" dxfId="143" priority="49" operator="equal">
      <formula>0</formula>
    </cfRule>
  </conditionalFormatting>
  <conditionalFormatting sqref="N493:Q498">
    <cfRule type="cellIs" dxfId="142" priority="48" operator="equal">
      <formula>0</formula>
    </cfRule>
  </conditionalFormatting>
  <conditionalFormatting sqref="N493:Q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36">
        <f t="shared" ref="L60:L65" si="2">IF(ISBLANK(I60),IF(ISNUMBER(J60)=FALSE,K60,J60),I60)</f>
        <v>0.99879205784164971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36">
        <f t="shared" si="2"/>
        <v>2.0482100913062349E-5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36">
        <f t="shared" si="2"/>
        <v>1.1874600574371856E-3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36">
        <f t="shared" si="2"/>
        <v>1.2857706789564763E-2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36">
        <f t="shared" si="2"/>
        <v>1025343.6014160626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36">
        <f t="shared" si="2"/>
        <v>59444808.762458518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36">
        <f>IF(ISBLANK(I66),IF(ISNUMBER(J66)=FALSE,K66,J66),I66)</f>
        <v>0.52963729223145883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1409.853193568397</v>
      </c>
      <c r="L67" s="636">
        <f>IF(ISBLANK(I67),IF(ISNUMBER(J67)=FALSE,K67,J67),I67)</f>
        <v>1409.853193568397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887379.64499147597</v>
      </c>
      <c r="L70" s="636">
        <f>IF(ISBLANK(I70),IF(ISNUMBER(J70)=FALSE,K70,J70),I70)</f>
        <v>887379.64499147597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36">
        <f t="shared" ref="L72:L104" si="3">IF(ISBLANK(I72),IF(ISNUMBER(J72)=FALSE,K72,J72),I72)</f>
        <v>0.52396417128963191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1409.853193568397</v>
      </c>
      <c r="L73" s="636">
        <f t="shared" si="3"/>
        <v>1409.853193568397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887379.64499147597</v>
      </c>
      <c r="L76" s="636">
        <f t="shared" si="3"/>
        <v>887379.64499147597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0.5263665058527196</v>
      </c>
      <c r="L78" s="636">
        <f t="shared" si="3"/>
        <v>0.5263665058527196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2487.4573041782091</v>
      </c>
      <c r="L79" s="636">
        <f t="shared" si="3"/>
        <v>2487.4573041782091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887379.64499147597</v>
      </c>
      <c r="L82" s="636">
        <f t="shared" si="3"/>
        <v>887379.64499147597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97.687226139171642</v>
      </c>
      <c r="L84" s="636">
        <f t="shared" si="3"/>
        <v>97.687226139171642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193.77445227834335</v>
      </c>
      <c r="L85" s="636">
        <f t="shared" si="3"/>
        <v>193.77445227834335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97.687226139171642</v>
      </c>
      <c r="L87" s="636">
        <f t="shared" si="3"/>
        <v>97.687226139171642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193.77445227834335</v>
      </c>
      <c r="L88" s="636">
        <f t="shared" si="3"/>
        <v>193.77445227834335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116.4646907272794</v>
      </c>
      <c r="L90" s="636">
        <f t="shared" si="3"/>
        <v>116.4646907272794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36">
        <f t="shared" si="3"/>
        <v>1.7172586708561466E-3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36">
        <f t="shared" si="3"/>
        <v>0.99828257509615714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77.50978091133733</v>
      </c>
      <c r="L93" s="636">
        <f t="shared" si="3"/>
        <v>77.50978091133733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116.46578062350687</v>
      </c>
      <c r="L95" s="636">
        <f t="shared" si="3"/>
        <v>116.46578062350687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36">
        <f t="shared" si="3"/>
        <v>1.7172426006101316E-3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36">
        <f t="shared" si="3"/>
        <v>0.99827323308679849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77.50978091133733</v>
      </c>
      <c r="L98" s="636">
        <f t="shared" si="3"/>
        <v>77.50978091133733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116.46578062350687</v>
      </c>
      <c r="L100" s="636">
        <f t="shared" si="3"/>
        <v>116.46578062350687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36">
        <f t="shared" si="3"/>
        <v>1.7172426006101316E-3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36">
        <f t="shared" si="3"/>
        <v>0.99827323308679849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77.50978091133733</v>
      </c>
      <c r="L103" s="636">
        <f t="shared" si="3"/>
        <v>77.50978091133733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1.817648401949789E-8</v>
      </c>
      <c r="L108" s="636">
        <f>IF(ISBLANK(I108),IF(ISNUMBER(J108)=FALSE,K108,J108),I108)</f>
        <v>1.817648401949789E-8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1.999413242144768E-7</v>
      </c>
      <c r="L109" s="636">
        <f t="shared" ref="L109:L137" si="4">IF(ISBLANK(I109),IF(ISNUMBER(J109)=FALSE,K109,J109),I109)</f>
        <v>1.999413242144768E-7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3.1809045840657848E-8</v>
      </c>
      <c r="L110" s="636">
        <f t="shared" si="4"/>
        <v>3.1809045840657848E-8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2.020577293261171E-6</v>
      </c>
      <c r="L111" s="636">
        <f t="shared" si="4"/>
        <v>2.020577293261171E-6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4.4901717628026015E-6</v>
      </c>
      <c r="L112" s="636">
        <f t="shared" si="4"/>
        <v>4.4901717628026015E-6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7.4836196046710032E-7</v>
      </c>
      <c r="L113" s="636">
        <f t="shared" si="4"/>
        <v>7.4836196046710032E-7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1.9347147542626506E-8</v>
      </c>
      <c r="L114" s="636">
        <f>IF(ISBLANK(I114),IF(ISNUMBER(J114)=FALSE,K114,J114),I114)</f>
        <v>1.9347147542626506E-8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6.3799712732214699E-7</v>
      </c>
      <c r="L115" s="636">
        <f t="shared" si="4"/>
        <v>6.3799712732214699E-7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2.1192816746277591E-7</v>
      </c>
      <c r="L116" s="636">
        <f t="shared" si="4"/>
        <v>2.1192816746277591E-7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1.8437857788422397E-8</v>
      </c>
      <c r="L117" s="636">
        <f t="shared" si="4"/>
        <v>1.8437857788422397E-8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4.6230714339618E-8</v>
      </c>
      <c r="L118" s="636">
        <f t="shared" si="4"/>
        <v>4.6230714339618E-8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1.0159385605760333E-7</v>
      </c>
      <c r="L119" s="636">
        <f t="shared" si="4"/>
        <v>1.0159385605760333E-7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6.6445759783730687E-6</v>
      </c>
      <c r="L120" s="636">
        <f t="shared" si="4"/>
        <v>6.6445759783730687E-6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8.3609491619887234E-5</v>
      </c>
      <c r="L121" s="636">
        <f t="shared" si="4"/>
        <v>8.3609491619887234E-5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7.6966123583672519E-5</v>
      </c>
      <c r="L122" s="636">
        <f t="shared" si="4"/>
        <v>7.6966123583672519E-5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4.5591795151861934E-4</v>
      </c>
      <c r="L123" s="636">
        <f t="shared" si="4"/>
        <v>4.5591795151861934E-4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1.2079421583502479E-6</v>
      </c>
      <c r="L126" s="636">
        <f t="shared" si="4"/>
        <v>1.2079421583502479E-6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8.7859593290845394E-5</v>
      </c>
      <c r="L127" s="636">
        <f t="shared" si="4"/>
        <v>8.7859593290845394E-5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0.37886517628381433</v>
      </c>
      <c r="L128" s="636">
        <f t="shared" si="4"/>
        <v>0.37886517628381433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6.578266752667463E-4</v>
      </c>
      <c r="L131" s="636">
        <f t="shared" ref="L131:L134" si="5">IF(ISBLANK(I131),IF(ISNUMBER(J131)=FALSE,K131,J131),I131)</f>
        <v>6.578266752667463E-4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8.7178466669987295E-4</v>
      </c>
      <c r="L132" s="636">
        <f t="shared" si="5"/>
        <v>8.7178466669987295E-4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1.9347147542626508E-6</v>
      </c>
      <c r="L133" s="636">
        <f t="shared" si="5"/>
        <v>1.9347147542626508E-6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1.9139913819664411E-6</v>
      </c>
      <c r="L134" s="636">
        <f t="shared" si="5"/>
        <v>1.9139913819664411E-6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2.119281674627759E-6</v>
      </c>
      <c r="L135" s="636">
        <f t="shared" si="4"/>
        <v>2.119281674627759E-6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3.6350535604766547E-3</v>
      </c>
      <c r="L136" s="636">
        <f t="shared" si="4"/>
        <v>3.6350535604766547E-3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4.4612168860281683E-6</v>
      </c>
      <c r="L137" s="636">
        <f t="shared" si="4"/>
        <v>4.4612168860281683E-6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9.2189288942111984E-10</v>
      </c>
      <c r="L138" s="636">
        <f t="shared" ref="L138:L145" si="6">IF(ISBLANK(I138),IF(ISNUMBER(J138)=FALSE,K138,J138),I138)</f>
        <v>9.2189288942111984E-10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9.2461428679235999E-9</v>
      </c>
      <c r="L139" s="636">
        <f t="shared" si="6"/>
        <v>9.2461428679235999E-9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5.0796928028801671E-9</v>
      </c>
      <c r="L140" s="636">
        <f t="shared" si="6"/>
        <v>5.0796928028801671E-9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4.5961988223700326E-6</v>
      </c>
      <c r="L147" s="636">
        <f t="shared" ref="L147:L167" si="7">IF(ISBLANK(I147),IF(ISNUMBER(J147)=FALSE,K147,J147),I147)</f>
        <v>4.5961988223700326E-6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1.3719150547743615E-6</v>
      </c>
      <c r="L148" s="636">
        <f t="shared" si="7"/>
        <v>1.3719150547743615E-6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3.5425196362772575E-8</v>
      </c>
      <c r="L149" s="636">
        <f t="shared" si="7"/>
        <v>3.5425196362772575E-8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1.6917107829033354E-8</v>
      </c>
      <c r="L150" s="636">
        <f t="shared" si="7"/>
        <v>1.6917107829033354E-8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1.3774184858517597E-5</v>
      </c>
      <c r="L151" s="636">
        <f t="shared" si="7"/>
        <v>1.3774184858517597E-5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1.3704672863057882E-5</v>
      </c>
      <c r="L153" s="636">
        <f t="shared" si="7"/>
        <v>1.3704672863057882E-5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1.4411608592500967E-8</v>
      </c>
      <c r="L162" s="636">
        <f t="shared" si="7"/>
        <v>1.4411608592500967E-8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2.8156138301914875E-10</v>
      </c>
      <c r="L163" s="636">
        <f t="shared" si="7"/>
        <v>2.8156138301914875E-10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1.447768468573124E-8</v>
      </c>
      <c r="L164" s="636">
        <f t="shared" si="7"/>
        <v>1.447768468573124E-8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2.8156138301914875E-10</v>
      </c>
      <c r="L165" s="636">
        <f t="shared" si="7"/>
        <v>2.8156138301914875E-10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1.1321999597704203E-9</v>
      </c>
      <c r="L169" s="636">
        <f t="shared" ref="L169:L183" si="8">IF(ISBLANK(I169),IF(ISNUMBER(J169)=FALSE,K169,J169),I169)</f>
        <v>1.1321999597704203E-9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5.152076583189091E-10</v>
      </c>
      <c r="L170" s="636">
        <f t="shared" si="8"/>
        <v>5.152076583189091E-10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1.1321895719480814E-9</v>
      </c>
      <c r="L171" s="636">
        <f t="shared" si="8"/>
        <v>1.1321895719480814E-9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1.0292726907003819E-10</v>
      </c>
      <c r="L172" s="636">
        <f t="shared" si="8"/>
        <v>1.0292726907003819E-10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4.6837059847173547E-11</v>
      </c>
      <c r="L173" s="636">
        <f t="shared" si="8"/>
        <v>4.6837059847173547E-11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1.0292632472255284E-10</v>
      </c>
      <c r="L174" s="636">
        <f t="shared" si="8"/>
        <v>1.0292632472255284E-10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6.6680677335514423E-5</v>
      </c>
      <c r="L187" s="636">
        <f t="shared" ref="L187:L211" si="9">IF(ISBLANK(I187),IF(ISNUMBER(J187)=FALSE,K187,J187),I187)</f>
        <v>6.6680677335514423E-5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4.6017181281600037E-8</v>
      </c>
      <c r="L188" s="636">
        <f>IF(ISBLANK(I188),IF(ISNUMBER(J188)=FALSE,K188,J188),I188)</f>
        <v>4.6017181281600037E-8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4.5524275969527712E-8</v>
      </c>
      <c r="L189" s="636">
        <f t="shared" si="9"/>
        <v>4.5524275969527712E-8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4.5733001198491286E-8</v>
      </c>
      <c r="L190" s="636">
        <f t="shared" si="9"/>
        <v>4.5733001198491286E-8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1.2561171773023441E-8</v>
      </c>
      <c r="L191" s="636">
        <f t="shared" si="9"/>
        <v>1.2561171773023441E-8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1.1779136849972535E-8</v>
      </c>
      <c r="L192" s="636">
        <f t="shared" si="9"/>
        <v>1.1779136849972535E-8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4.3463662523016371E-8</v>
      </c>
      <c r="L193" s="636">
        <f t="shared" si="9"/>
        <v>4.3463662523016371E-8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4.345921610249529E-8</v>
      </c>
      <c r="L194" s="636">
        <f t="shared" si="9"/>
        <v>4.345921610249529E-8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4.3463662446660811E-8</v>
      </c>
      <c r="L195" s="636">
        <f t="shared" si="9"/>
        <v>4.3463662446660811E-8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6.668031100963259E-5</v>
      </c>
      <c r="L197" s="636">
        <f t="shared" si="9"/>
        <v>6.668031100963259E-5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4.6017181281600037E-8</v>
      </c>
      <c r="L200" s="636">
        <f>IF(ISBLANK(I200),IF(ISNUMBER(J200)=FALSE,K200,J200),I200)</f>
        <v>4.6017181281600037E-8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4.5524275969527712E-8</v>
      </c>
      <c r="L201" s="636">
        <f t="shared" si="9"/>
        <v>4.5524275969527712E-8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4.5733001198491286E-8</v>
      </c>
      <c r="L202" s="636">
        <f t="shared" si="9"/>
        <v>4.5733001198491286E-8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9.6658035166392018E-9</v>
      </c>
      <c r="L207" s="636">
        <f t="shared" si="9"/>
        <v>9.6658035166392018E-9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9.6658035166392018E-9</v>
      </c>
      <c r="L208" s="636">
        <f t="shared" si="9"/>
        <v>9.6658035166392018E-9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65" sqref="K16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36">
        <f t="shared" ref="L66:L110" si="2">IF(ISBLANK(I66),IF(ISNUMBER(J66)=FALSE,K66,J66),I66)</f>
        <v>0.99879205784164971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36">
        <f t="shared" si="2"/>
        <v>2.0482100913062349E-5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36">
        <f t="shared" si="2"/>
        <v>1.1874600574371856E-3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36">
        <f t="shared" ref="L69:L71" si="3">IF(ISBLANK(I69),IF(ISNUMBER(J69)=FALSE,K69,J69),I69)</f>
        <v>1.2857706789564763E-2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36">
        <f t="shared" si="3"/>
        <v>1025343.6014160626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36">
        <f t="shared" si="3"/>
        <v>59444808.762458518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36">
        <f t="shared" si="2"/>
        <v>0.52963729223145883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1409.853193568397</v>
      </c>
      <c r="L73" s="636">
        <f t="shared" si="2"/>
        <v>1409.853193568397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887379.64499147597</v>
      </c>
      <c r="L76" s="636">
        <f>IF(ISBLANK(I76),IF(ISNUMBER(J76)=FALSE,K76,J76),I76)</f>
        <v>887379.64499147597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0.52396417128963191</v>
      </c>
      <c r="L78" s="646">
        <f t="shared" si="2"/>
        <v>0.52396417128963191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1409.853193568397</v>
      </c>
      <c r="L79" s="636">
        <f t="shared" si="2"/>
        <v>1409.853193568397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887379.64499147597</v>
      </c>
      <c r="L82" s="636">
        <f t="shared" si="2"/>
        <v>887379.64499147597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0.5263665058527196</v>
      </c>
      <c r="L84" s="636">
        <f t="shared" si="2"/>
        <v>0.5263665058527196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2487.4573041782091</v>
      </c>
      <c r="L85" s="636">
        <f t="shared" si="2"/>
        <v>2487.4573041782091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887379.64499147597</v>
      </c>
      <c r="L88" s="636">
        <f t="shared" si="2"/>
        <v>887379.64499147597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97.687226139171642</v>
      </c>
      <c r="L90" s="636">
        <f t="shared" si="2"/>
        <v>97.687226139171642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193.77445227834335</v>
      </c>
      <c r="L91" s="636">
        <f t="shared" si="2"/>
        <v>193.77445227834335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97.687226139171642</v>
      </c>
      <c r="L93" s="636">
        <f t="shared" si="2"/>
        <v>97.687226139171642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193.77445227834335</v>
      </c>
      <c r="L94" s="636">
        <f t="shared" si="2"/>
        <v>193.77445227834335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116.4646907272794</v>
      </c>
      <c r="L96" s="636">
        <f t="shared" si="2"/>
        <v>116.4646907272794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1.7172586708561466E-3</v>
      </c>
      <c r="L97" s="636">
        <f t="shared" si="2"/>
        <v>1.7172586708561466E-3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0.99828257509615714</v>
      </c>
      <c r="L98" s="636">
        <f t="shared" si="2"/>
        <v>0.99828257509615714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77.50978091133733</v>
      </c>
      <c r="L99" s="636">
        <f t="shared" si="2"/>
        <v>77.50978091133733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116.46578062350687</v>
      </c>
      <c r="L101" s="636">
        <f t="shared" si="2"/>
        <v>116.46578062350687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1.7172426006101316E-3</v>
      </c>
      <c r="L102" s="636">
        <f t="shared" si="2"/>
        <v>1.7172426006101316E-3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0.99827323308679849</v>
      </c>
      <c r="L103" s="636">
        <f t="shared" si="2"/>
        <v>0.99827323308679849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77.50978091133733</v>
      </c>
      <c r="L104" s="636">
        <f t="shared" si="2"/>
        <v>77.50978091133733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116.46578062350687</v>
      </c>
      <c r="L106" s="636">
        <f t="shared" si="2"/>
        <v>116.46578062350687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1.7172426006101316E-3</v>
      </c>
      <c r="L107" s="636">
        <f t="shared" si="2"/>
        <v>1.7172426006101316E-3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0.99827323308679849</v>
      </c>
      <c r="L108" s="636">
        <f t="shared" si="2"/>
        <v>0.99827323308679849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77.50978091133733</v>
      </c>
      <c r="L109" s="636">
        <f t="shared" si="2"/>
        <v>77.50978091133733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8.5554970980107042E-9</v>
      </c>
      <c r="L114" s="636">
        <f>IF(ISBLANK(I114),IF(ISNUMBER(J114)=FALSE,K114,J114),I114)</f>
        <v>8.5554970980107042E-9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9.4110468078117723E-8</v>
      </c>
      <c r="L115" s="636">
        <f t="shared" ref="L115:L136" si="4">IF(ISBLANK(I115),IF(ISNUMBER(J115)=FALSE,K115,J115),I115)</f>
        <v>9.4110468078117723E-8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3.6456140819686415E-6</v>
      </c>
      <c r="L116" s="636">
        <f t="shared" si="4"/>
        <v>3.6456140819686415E-6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9.5196497494317357E-7</v>
      </c>
      <c r="L117" s="636">
        <f t="shared" si="4"/>
        <v>9.5196497494317357E-7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2.1154777220959411E-6</v>
      </c>
      <c r="L118" s="636">
        <f t="shared" si="4"/>
        <v>2.1154777220959411E-6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3.5257962034932348E-7</v>
      </c>
      <c r="L119" s="636">
        <f t="shared" si="4"/>
        <v>3.5257962034932348E-7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1.9347147542626506E-8</v>
      </c>
      <c r="L120" s="636">
        <f>IF(ISBLANK(I120),IF(ISNUMBER(J120)=FALSE,K120,J120),I120)</f>
        <v>1.9347147542626506E-8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6.3799712732214699E-7</v>
      </c>
      <c r="L121" s="636">
        <f t="shared" si="4"/>
        <v>6.3799712732214699E-7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1.0596408373138794E-8</v>
      </c>
      <c r="L122" s="636">
        <f t="shared" si="4"/>
        <v>1.0596408373138794E-8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1.8437857788422397E-8</v>
      </c>
      <c r="L123" s="636">
        <f t="shared" si="4"/>
        <v>1.8437857788422397E-8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4.6230748999839204E-8</v>
      </c>
      <c r="L124" s="636">
        <f t="shared" si="4"/>
        <v>4.6230748999839204E-8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1.015939322248349E-7</v>
      </c>
      <c r="L125" s="636">
        <f t="shared" si="4"/>
        <v>1.015939322248349E-7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6.4099862459061766E-6</v>
      </c>
      <c r="L126" s="636">
        <f t="shared" si="4"/>
        <v>6.4099862459061766E-6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7.5530789337792398E-5</v>
      </c>
      <c r="L127" s="636">
        <f t="shared" si="4"/>
        <v>7.5530789337792398E-5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6.9122011034044575E-5</v>
      </c>
      <c r="L128" s="636">
        <f t="shared" si="4"/>
        <v>6.9122011034044575E-5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4.480738389689914E-4</v>
      </c>
      <c r="L129" s="636">
        <f t="shared" si="4"/>
        <v>4.480738389689914E-4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1.2079421583502479E-6</v>
      </c>
      <c r="L132" s="636">
        <f t="shared" si="4"/>
        <v>1.2079421583502479E-6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8.7859593290845394E-5</v>
      </c>
      <c r="L133" s="636">
        <f t="shared" si="4"/>
        <v>8.7859593290845394E-5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0.37886517628381433</v>
      </c>
      <c r="L134" s="636">
        <f t="shared" si="4"/>
        <v>0.37886517628381433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6.578266752667463E-4</v>
      </c>
      <c r="L137" s="636">
        <f t="shared" ref="L137:L151" si="5">IF(ISBLANK(I137),IF(ISNUMBER(J137)=FALSE,K137,J137),I137)</f>
        <v>6.578266752667463E-4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8.7178466669987295E-4</v>
      </c>
      <c r="L138" s="636">
        <f t="shared" si="5"/>
        <v>8.7178466669987295E-4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1.9347147542626508E-6</v>
      </c>
      <c r="L139" s="636">
        <f t="shared" si="5"/>
        <v>1.9347147542626508E-6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1.9139913819664411E-6</v>
      </c>
      <c r="L140" s="636">
        <f t="shared" si="5"/>
        <v>1.9139913819664411E-6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2.119281674627759E-6</v>
      </c>
      <c r="L141" s="636">
        <f t="shared" si="5"/>
        <v>2.119281674627759E-6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3.6350535604766547E-3</v>
      </c>
      <c r="L142" s="636">
        <f t="shared" si="5"/>
        <v>3.6350535604766547E-3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4.4612168860281683E-6</v>
      </c>
      <c r="L143" s="636">
        <f t="shared" si="5"/>
        <v>4.4612168860281683E-6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9.2189288942111984E-10</v>
      </c>
      <c r="L144" s="636">
        <f t="shared" si="5"/>
        <v>9.2189288942111984E-10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(L147*L148)/(L147+L148/((L69*FRorig.s2w)/L96))*L150</f>
        <v>9.2461497999678412E-9</v>
      </c>
      <c r="L145" s="636">
        <f t="shared" si="5"/>
        <v>9.2461497999678412E-9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(L147*L148)/(L147+L148/((L69*FRorig.s3w)/L96))*L151</f>
        <v>5.0796966112417451E-9</v>
      </c>
      <c r="L146" s="636">
        <f t="shared" si="5"/>
        <v>5.0796966112417451E-9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4.5961988223700326E-6</v>
      </c>
      <c r="L153" s="636">
        <f t="shared" ref="L153:L173" si="6">IF(ISBLANK(I153),IF(ISNUMBER(J153)=FALSE,K153,J153),I153)</f>
        <v>4.5961988223700326E-6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6.8595752738718068E-8</v>
      </c>
      <c r="L154" s="636">
        <f t="shared" si="6"/>
        <v>6.8595752738718068E-8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3.5446336224003256E-8</v>
      </c>
      <c r="L155" s="636">
        <f t="shared" si="6"/>
        <v>3.5446336224003256E-8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1.8116147920780187E-8</v>
      </c>
      <c r="L156" s="636">
        <f t="shared" si="6"/>
        <v>1.8116147920780187E-8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1.3774184858517597E-5</v>
      </c>
      <c r="L157" s="636">
        <f t="shared" si="6"/>
        <v>1.3774184858517597E-5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1.3704672863057882E-5</v>
      </c>
      <c r="L159" s="636">
        <f t="shared" si="6"/>
        <v>1.3704672863057882E-5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1.4411608592500965E-8</v>
      </c>
      <c r="L168" s="636">
        <f t="shared" si="6"/>
        <v>1.4411608592500965E-8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2.8156138301914875E-10</v>
      </c>
      <c r="L169" s="636">
        <f t="shared" si="6"/>
        <v>2.8156138301914875E-10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1.4477684685731238E-8</v>
      </c>
      <c r="L170" s="636">
        <f t="shared" si="6"/>
        <v>1.4477684685731238E-8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2.8156138301914875E-10</v>
      </c>
      <c r="L171" s="636">
        <f t="shared" si="6"/>
        <v>2.8156138301914875E-10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1.1321999597704203E-9</v>
      </c>
      <c r="L175" s="636">
        <f t="shared" ref="L175:L177" si="7">IF(ISBLANK(I175),IF(ISNUMBER(J175)=FALSE,K175,J175),I175)</f>
        <v>1.1321999597704203E-9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5.1520765831890899E-10</v>
      </c>
      <c r="L176" s="636">
        <f t="shared" si="7"/>
        <v>5.1520765831890899E-10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1.1321895719480812E-9</v>
      </c>
      <c r="L177" s="636">
        <f t="shared" si="7"/>
        <v>1.1321895719480812E-9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1.029272690700382E-10</v>
      </c>
      <c r="L178" s="636">
        <f t="shared" ref="L178:L180" si="8">IF(ISBLANK(I178),IF(ISNUMBER(J178)=FALSE,K178,J178),I178)</f>
        <v>1.029272690700382E-10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4.6837059847173554E-11</v>
      </c>
      <c r="L179" s="636">
        <f t="shared" si="8"/>
        <v>4.6837059847173554E-11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1.0292632472255285E-10</v>
      </c>
      <c r="L180" s="636">
        <f t="shared" si="8"/>
        <v>1.0292632472255285E-10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6.6680677335514423E-5</v>
      </c>
      <c r="L193" s="636">
        <f t="shared" ref="L193:L217" si="11">IF(ISBLANK(I193),IF(ISNUMBER(J193)=FALSE,K193,J193),I193)</f>
        <v>6.6680677335514423E-5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4.6017181281600037E-8</v>
      </c>
      <c r="L194" s="636">
        <f>IF(ISBLANK(I194),IF(ISNUMBER(J194)=FALSE,K194,J194),I194)</f>
        <v>4.6017181281600037E-8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4.5524275969527712E-8</v>
      </c>
      <c r="L195" s="636">
        <f t="shared" si="11"/>
        <v>4.5524275969527712E-8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4.5733001198491286E-8</v>
      </c>
      <c r="L196" s="636">
        <f t="shared" si="11"/>
        <v>4.5733001198491286E-8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1.254003191179276E-8</v>
      </c>
      <c r="L197" s="636">
        <f t="shared" si="11"/>
        <v>1.254003191179276E-8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1.0580096758225705E-8</v>
      </c>
      <c r="L198" s="636">
        <f t="shared" si="11"/>
        <v>1.0580096758225705E-8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4.3463662523016371E-8</v>
      </c>
      <c r="L199" s="636">
        <f t="shared" si="11"/>
        <v>4.3463662523016371E-8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4.345921610249529E-8</v>
      </c>
      <c r="L200" s="636">
        <f t="shared" si="11"/>
        <v>4.345921610249529E-8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4.3463662446660811E-8</v>
      </c>
      <c r="L201" s="636">
        <f t="shared" si="11"/>
        <v>4.3463662446660811E-8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6.668031100963259E-5</v>
      </c>
      <c r="L203" s="636">
        <f t="shared" si="11"/>
        <v>6.668031100963259E-5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4.6017181281600037E-8</v>
      </c>
      <c r="L206" s="636">
        <f>IF(ISBLANK(I206),IF(ISNUMBER(J206)=FALSE,K206,J206),I206)</f>
        <v>4.6017181281600037E-8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4.5524275969527712E-8</v>
      </c>
      <c r="L207" s="636">
        <f t="shared" si="11"/>
        <v>4.5524275969527712E-8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4.5733001198491286E-8</v>
      </c>
      <c r="L208" s="636">
        <f t="shared" si="11"/>
        <v>4.5733001198491286E-8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36">
        <f t="shared" si="11"/>
        <v>9.6658035166392018E-9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36">
        <f t="shared" si="11"/>
        <v>9.6658035166392018E-9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36">
        <f>IF(ISBLANK(I46),IF(ISNUMBER(J46)=FALSE,K46,J46),I46)</f>
        <v>0.99879205784164971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36">
        <f>IF(ISBLANK(I47),IF(ISNUMBER(J47)=FALSE,K47,J47),I47)</f>
        <v>2.0482100913062349E-5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36">
        <f>IF(ISBLANK(I48),IF(ISNUMBER(J48)=FALSE,K48,J48),I48)</f>
        <v>1.1874600574371856E-3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1.2857706789564763E-2</v>
      </c>
      <c r="L49" s="636">
        <f>IF(ISBLANK(I49),IF(ISNUMBER(J49)=FALSE,K49,J49),I49)</f>
        <v>1.2857706789564763E-2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36">
        <f t="shared" ref="L51:L58" si="2">IF(ISBLANK(I51),IF(ISNUMBER(J51)=FALSE,K51,J51),I51)</f>
        <v>1025343.6014160626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36">
        <f t="shared" si="2"/>
        <v>59444808.762458518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0.5263665058527196</v>
      </c>
      <c r="L53" s="636">
        <f t="shared" si="2"/>
        <v>0.5263665058527196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0.5263665058527196</v>
      </c>
      <c r="L54" s="636">
        <f t="shared" si="2"/>
        <v>0.5263665058527196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2487.4573041782091</v>
      </c>
      <c r="L55" s="636">
        <f t="shared" si="2"/>
        <v>2487.4573041782091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2487.4573041782091</v>
      </c>
      <c r="L56" s="636">
        <f t="shared" si="2"/>
        <v>2487.4573041782091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887379.64499147597</v>
      </c>
      <c r="L61" s="636">
        <f>IF(ISBLANK(I61),IF(ISNUMBER(J61)=FALSE,K61,J61),I61)</f>
        <v>887379.64499147597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887379.64499147597</v>
      </c>
      <c r="L62" s="636">
        <f>IF(ISBLANK(I62),IF(ISNUMBER(J62)=FALSE,K62,J62),I62)</f>
        <v>887379.64499147597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97.687226139171642</v>
      </c>
      <c r="L65" s="636">
        <f t="shared" ref="L65:L72" si="3">IF(ISBLANK(I65),IF(ISNUMBER(J65)=FALSE,K65,J65),I65)</f>
        <v>97.687226139171642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193.77445227834335</v>
      </c>
      <c r="L66" s="636">
        <f t="shared" si="3"/>
        <v>193.77445227834335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116.4646907272794</v>
      </c>
      <c r="L68" s="636">
        <f t="shared" si="3"/>
        <v>116.4646907272794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1.7172586708561466E-3</v>
      </c>
      <c r="L69" s="636">
        <f t="shared" si="3"/>
        <v>1.7172586708561466E-3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0.99828257509615714</v>
      </c>
      <c r="L70" s="636">
        <f t="shared" si="3"/>
        <v>0.99828257509615714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77.50978091133733</v>
      </c>
      <c r="L71" s="636">
        <f t="shared" si="3"/>
        <v>77.50978091133733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3.3720062167776929E-6</v>
      </c>
      <c r="L76" s="636">
        <f t="shared" ref="L76:L89" si="4">IF(ISBLANK(I76),IF(ISNUMBER(J76)=FALSE,K76,J76),I76)</f>
        <v>3.3720062167776929E-6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3.6309033273610365E-6</v>
      </c>
      <c r="L77" s="636">
        <f t="shared" si="4"/>
        <v>3.6309033273610365E-6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2.1192816746277588E-8</v>
      </c>
      <c r="L78" s="636">
        <f t="shared" si="4"/>
        <v>2.1192816746277588E-8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1.8437857788422397E-8</v>
      </c>
      <c r="L79" s="636">
        <f t="shared" si="4"/>
        <v>1.8437857788422397E-8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6.3900219880222003E-6</v>
      </c>
      <c r="L80" s="636">
        <f t="shared" si="4"/>
        <v>6.3900219880222003E-6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7.484779134656324E-5</v>
      </c>
      <c r="L81" s="636">
        <f t="shared" si="4"/>
        <v>7.484779134656324E-5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6.8458977300699393E-5</v>
      </c>
      <c r="L82" s="636">
        <f t="shared" si="4"/>
        <v>6.8458977300699393E-5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4.474108052356462E-4</v>
      </c>
      <c r="L83" s="636">
        <f t="shared" si="4"/>
        <v>4.474108052356462E-4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1.2079421583502479E-6</v>
      </c>
      <c r="L86" s="636">
        <f t="shared" si="4"/>
        <v>1.2079421583502479E-6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8.7859593290845394E-5</v>
      </c>
      <c r="L87" s="636">
        <f t="shared" si="4"/>
        <v>8.7859593290845394E-5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0.37886517628381433</v>
      </c>
      <c r="L88" s="636">
        <f t="shared" si="4"/>
        <v>0.37886517628381433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3.5399044553318542E-4</v>
      </c>
      <c r="L92" s="636">
        <f t="shared" si="5"/>
        <v>3.5399044553318542E-4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8.7178466669987295E-4</v>
      </c>
      <c r="L93" s="636">
        <f>IF(ISBLANK(I93),IF(ISNUMBER(J93)=FALSE,K93,J93),I93)</f>
        <v>8.7178466669987295E-4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2.119281674627759E-6</v>
      </c>
      <c r="L94" s="636">
        <f>IF(ISBLANK(I94),IF(ISNUMBER(J94)=FALSE,K94,J94),I94)</f>
        <v>2.119281674627759E-6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9.2189288942111984E-10</v>
      </c>
      <c r="L95" s="636">
        <f>IF(ISBLANK(I95),IF(ISNUMBER(J95)=FALSE,K95,J95),I95)</f>
        <v>9.2189288942111984E-10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3.6350535604766547E-3</v>
      </c>
      <c r="L96" s="636">
        <f t="shared" si="5"/>
        <v>3.6350535604766547E-3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4.4612168860281683E-6</v>
      </c>
      <c r="L97" s="636">
        <f t="shared" si="5"/>
        <v>4.4612168860281683E-6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4.5730501825812043E-9</v>
      </c>
      <c r="L103" s="636">
        <f t="shared" ref="L103:L109" si="6">IF(ISBLANK(I103),IF(ISNUMBER(J103)=FALSE,K103,J103),I103)</f>
        <v>4.5730501825812043E-9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1.902745722805203E-8</v>
      </c>
      <c r="L104" s="636">
        <f t="shared" si="6"/>
        <v>1.902745722805203E-8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1.3704672863057882E-5</v>
      </c>
      <c r="L105" s="636">
        <f t="shared" si="6"/>
        <v>1.3704672863057882E-5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1.4477684685731238E-8</v>
      </c>
      <c r="L111" s="636">
        <f>IF(ISBLANK(I111),IF(ISNUMBER(J111)=FALSE,K111,J111),I111)</f>
        <v>1.4477684685731238E-8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2.8156138301914875E-10</v>
      </c>
      <c r="L112" s="636">
        <f>IF(ISBLANK(I112),IF(ISNUMBER(J112)=FALSE,K112,J112),I112)</f>
        <v>2.8156138301914875E-10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1.2351272288404583E-9</v>
      </c>
      <c r="L116" s="636">
        <f>IF(ISBLANK(I116),IF(ISNUMBER(J116)=FALSE,K116,J116),I116)</f>
        <v>1.2351272288404583E-9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6.6680677335514423E-5</v>
      </c>
      <c r="L123" s="636">
        <f t="shared" ref="L123:L138" si="7">IF(ISBLANK(I123),IF(ISNUMBER(J123)=FALSE,K123,J123),I123)</f>
        <v>6.6680677335514423E-5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4.5733001198491286E-8</v>
      </c>
      <c r="L124" s="636">
        <f t="shared" si="7"/>
        <v>4.5733001198491286E-8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4.5733001198491286E-8</v>
      </c>
      <c r="L125" s="636">
        <f t="shared" si="7"/>
        <v>4.5733001198491286E-8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9.668787450953858E-9</v>
      </c>
      <c r="L126" s="636">
        <f t="shared" si="7"/>
        <v>9.668787450953858E-9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4.3463662523016371E-8</v>
      </c>
      <c r="L127" s="636">
        <f t="shared" si="7"/>
        <v>4.3463662523016371E-8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6.668031100963259E-5</v>
      </c>
      <c r="L129" s="636">
        <f t="shared" si="7"/>
        <v>6.668031100963259E-5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4.5733001198491286E-8</v>
      </c>
      <c r="L132" s="636">
        <f t="shared" si="7"/>
        <v>4.5733001198491286E-8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4.5733001198491286E-8</v>
      </c>
      <c r="L133" s="636">
        <f t="shared" si="7"/>
        <v>4.5733001198491286E-8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9.6658035166392018E-9</v>
      </c>
      <c r="L137" s="636">
        <f t="shared" si="7"/>
        <v>9.6658035166392018E-9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36">
        <f>IF(ISBLANK(I182),IF(ISNUMBER(J182)=FALSE,K182,J182),I182)</f>
        <v>0.99856867342024458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36">
        <f>IF(ISBLANK(I183),IF(ISNUMBER(J183)=FALSE,K183,J183),I183)</f>
        <v>2.4413210320235881E-4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36">
        <f>IF(ISBLANK(I184),IF(ISNUMBER(J184)=FALSE,K184,J184),I184)</f>
        <v>1.1871944765529669E-3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36">
        <f>IF(ISBLANK(I185),IF(ISNUMBER(J185)=FALSE,K185,J185),I185)</f>
        <v>1.0784896555974079E-3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36">
        <f t="shared" ref="L187:L194" si="10">IF(ISBLANK(I187),IF(ISNUMBER(J187)=FALSE,K187,J187),I187)</f>
        <v>12224101.841998028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36">
        <f t="shared" si="10"/>
        <v>59444808.762458518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0.5263665058527196</v>
      </c>
      <c r="L189" s="636">
        <f t="shared" si="10"/>
        <v>0.5263665058527196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0.5263665058527196</v>
      </c>
      <c r="L190" s="636">
        <f t="shared" si="10"/>
        <v>0.5263665058527196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2487.4573041782091</v>
      </c>
      <c r="L191" s="636">
        <f t="shared" si="10"/>
        <v>2487.4573041782091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2487.4573041782091</v>
      </c>
      <c r="L192" s="636">
        <f t="shared" si="10"/>
        <v>2487.4573041782091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887379.64499147597</v>
      </c>
      <c r="L197" s="636">
        <f>IF(ISBLANK(I197),IF(ISNUMBER(J197)=FALSE,K197,J197),I197)</f>
        <v>887379.64499147597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887379.64499147597</v>
      </c>
      <c r="L198" s="636">
        <f>IF(ISBLANK(I198),IF(ISNUMBER(J198)=FALSE,K198,J198),I198)</f>
        <v>887379.64499147597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97.687226139171642</v>
      </c>
      <c r="L201" s="636">
        <f t="shared" ref="L201:L208" si="11">IF(ISBLANK(I201),IF(ISNUMBER(J201)=FALSE,K201,J201),I201)</f>
        <v>97.687226139171642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193.77445227834335</v>
      </c>
      <c r="L202" s="636">
        <f t="shared" si="11"/>
        <v>193.77445227834335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116.46467299092348</v>
      </c>
      <c r="L204" s="636">
        <f t="shared" si="11"/>
        <v>116.46467299092348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1.7172589323767454E-3</v>
      </c>
      <c r="L205" s="636">
        <f t="shared" si="11"/>
        <v>1.7172589323767454E-3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0.99828272712418942</v>
      </c>
      <c r="L206" s="636">
        <f t="shared" si="11"/>
        <v>0.99828272712418942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77.50978091133733</v>
      </c>
      <c r="L207" s="636">
        <f t="shared" si="11"/>
        <v>77.50978091133733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5.5685758372556022E-6</v>
      </c>
      <c r="L212" s="636">
        <f t="shared" ref="L212:L225" si="12">IF(ISBLANK(I212),IF(ISNUMBER(J212)=FALSE,K212,J212),I212)</f>
        <v>5.5685758372556022E-6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3.2835382662743536E-6</v>
      </c>
      <c r="L213" s="636">
        <f t="shared" si="12"/>
        <v>3.2835382662743536E-6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1.02633956345953E-8</v>
      </c>
      <c r="L214" s="636">
        <f t="shared" si="12"/>
        <v>1.02633956345953E-8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1.723371587280169E-9</v>
      </c>
      <c r="L215" s="636">
        <f t="shared" si="12"/>
        <v>1.723371587280169E-9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7.237602403952322E-6</v>
      </c>
      <c r="L216" s="636">
        <f t="shared" si="12"/>
        <v>7.237602403952322E-6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6.5295766485141501E-5</v>
      </c>
      <c r="L217" s="636">
        <f t="shared" si="12"/>
        <v>6.5295766485141501E-5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5.8059595407768934E-5</v>
      </c>
      <c r="L218" s="636">
        <f t="shared" si="12"/>
        <v>5.8059595407768934E-5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1.6708766623864659E-3</v>
      </c>
      <c r="L219" s="636">
        <f t="shared" si="12"/>
        <v>1.6708766623864659E-3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1.4313265797553257E-6</v>
      </c>
      <c r="L222" s="636">
        <f t="shared" si="12"/>
        <v>1.4313265797553257E-6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3.1371408246474056E-5</v>
      </c>
      <c r="L223" s="636">
        <f t="shared" si="12"/>
        <v>3.1371408246474056E-5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1.6127871268970304</v>
      </c>
      <c r="L224" s="636">
        <f t="shared" si="12"/>
        <v>1.6127871268970304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2.0433573248070146E-3</v>
      </c>
      <c r="L228" s="636">
        <f t="shared" si="13"/>
        <v>2.0433573248070146E-3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9.712432617335619E-4</v>
      </c>
      <c r="L229" s="636">
        <f>IF(ISBLANK(I229),IF(ISNUMBER(J229)=FALSE,K229,J229),I229)</f>
        <v>9.712432617335619E-4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1.0263395634595301E-6</v>
      </c>
      <c r="L230" s="636">
        <f t="shared" si="13"/>
        <v>1.0263395634595301E-6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8.6168579364008453E-11</v>
      </c>
      <c r="L231" s="636">
        <f>IF(ISBLANK(I231),IF(ISNUMBER(J231)=FALSE,K231,J231),I231)</f>
        <v>8.6168579364008453E-11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3.6350535604766547E-3</v>
      </c>
      <c r="L232" s="636">
        <f t="shared" si="13"/>
        <v>3.6350535604766547E-3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4.4612168860281683E-6</v>
      </c>
      <c r="L233" s="636">
        <f t="shared" si="13"/>
        <v>4.4612168860281683E-6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4.5730501825812043E-9</v>
      </c>
      <c r="L239" s="636">
        <f t="shared" ref="L239:L245" si="14">IF(ISBLANK(I239),IF(ISNUMBER(J239)=FALSE,K239,J239),I239)</f>
        <v>4.5730501825812043E-9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1.9028327176234441E-8</v>
      </c>
      <c r="L240" s="636">
        <f t="shared" si="14"/>
        <v>1.9028327176234441E-8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1.3704672863057882E-5</v>
      </c>
      <c r="L241" s="636">
        <f t="shared" si="14"/>
        <v>1.3704672863057882E-5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1.4477684685731238E-8</v>
      </c>
      <c r="L247" s="636">
        <f>IF(ISBLANK(I247),IF(ISNUMBER(J247)=FALSE,K247,J247),I247)</f>
        <v>1.4477684685731238E-8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2.8156138301914875E-10</v>
      </c>
      <c r="L248" s="636">
        <f>IF(ISBLANK(I248),IF(ISNUMBER(J248)=FALSE,K248,J248),I248)</f>
        <v>2.8156138301914875E-10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4.5665933840912877E-10</v>
      </c>
      <c r="L252" s="636">
        <f>IF(ISBLANK(I252),IF(ISNUMBER(J252)=FALSE,K252,J252),I252)</f>
        <v>4.5665933840912877E-10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5.5751676855247755E-5</v>
      </c>
      <c r="L259" s="636">
        <f t="shared" ref="L259:L274" si="15">IF(ISBLANK(I259),IF(ISNUMBER(J259)=FALSE,K259,J259),I259)</f>
        <v>5.5751676855247755E-5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9.9532224886422275E-9</v>
      </c>
      <c r="L260" s="636">
        <f t="shared" si="15"/>
        <v>9.9532224886422275E-9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9.9532224886422275E-9</v>
      </c>
      <c r="L261" s="636">
        <f t="shared" si="15"/>
        <v>9.9532224886422275E-9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9.4604672409416271E-9</v>
      </c>
      <c r="L263" s="636">
        <f t="shared" si="15"/>
        <v>9.4604672409416271E-9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5.5751310529365929E-5</v>
      </c>
      <c r="L265" s="636">
        <f t="shared" si="15"/>
        <v>5.5751310529365929E-5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36">
        <f t="shared" si="15"/>
        <v>9.9532224886422275E-9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36">
        <f t="shared" si="15"/>
        <v>9.9532224886422275E-9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36">
        <f>IF(ISBLANK(I318),IF(ISNUMBER(J318)=FALSE,K318,J318),I318)</f>
        <v>0.99880688289446473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36">
        <f>IF(ISBLANK(I319),IF(ISNUMBER(J319)=FALSE,K319,J319),I319)</f>
        <v>5.6394226495036111E-6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36">
        <f>IF(ISBLANK(I320),IF(ISNUMBER(J320)=FALSE,K320,J320),I320)</f>
        <v>1.187477682885775E-3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36">
        <f>IF(ISBLANK(I321),IF(ISNUMBER(J321)=FALSE,K321,J321),I321)</f>
        <v>4.6699240912413072E-2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36">
        <f t="shared" ref="L323:L330" si="18">IF(ISBLANK(I323),IF(ISNUMBER(J323)=FALSE,K323,J323),I323)</f>
        <v>282307.9589300087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36">
        <f t="shared" si="18"/>
        <v>59444808.762458518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36">
        <f t="shared" si="18"/>
        <v>0.5263665058527196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36">
        <f t="shared" si="18"/>
        <v>0.5263665058527196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2487.4573041782091</v>
      </c>
      <c r="L327" s="636">
        <f t="shared" si="18"/>
        <v>2487.4573041782091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2487.4573041782091</v>
      </c>
      <c r="L328" s="636">
        <f t="shared" si="18"/>
        <v>2487.4573041782091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887379.64499147597</v>
      </c>
      <c r="L333" s="636">
        <f>IF(ISBLANK(I333),IF(ISNUMBER(J333)=FALSE,K333,J333),I333)</f>
        <v>887379.64499147597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887379.64499147597</v>
      </c>
      <c r="L334" s="636">
        <f>IF(ISBLANK(I334),IF(ISNUMBER(J334)=FALSE,K334,J334),I334)</f>
        <v>887379.64499147597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97.687226139171642</v>
      </c>
      <c r="L337" s="636">
        <f t="shared" ref="L337:L344" si="19">IF(ISBLANK(I337),IF(ISNUMBER(J337)=FALSE,K337,J337),I337)</f>
        <v>97.687226139171642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193.77445227834335</v>
      </c>
      <c r="L338" s="636">
        <f t="shared" si="19"/>
        <v>193.77445227834335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116.464741683594</v>
      </c>
      <c r="L340" s="636">
        <f t="shared" si="19"/>
        <v>116.464741683594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1.7172579195113894E-3</v>
      </c>
      <c r="L341" s="636">
        <f t="shared" si="19"/>
        <v>1.7172579195113894E-3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0.9982821383219006</v>
      </c>
      <c r="L342" s="636">
        <f t="shared" si="19"/>
        <v>0.9982821383219006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77.50978091133733</v>
      </c>
      <c r="L343" s="636">
        <f t="shared" si="19"/>
        <v>77.50978091133733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3.7790459375837957E-6</v>
      </c>
      <c r="L348" s="636">
        <f t="shared" ref="L348:L361" si="20">IF(ISBLANK(I348),IF(ISNUMBER(J348)=FALSE,K348,J348),I348)</f>
        <v>3.7790459375837957E-6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1.8304496651458033E-6</v>
      </c>
      <c r="L349" s="636">
        <f t="shared" si="20"/>
        <v>1.8304496651458033E-6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2.2804047743993472E-8</v>
      </c>
      <c r="L350" s="636">
        <f t="shared" si="20"/>
        <v>2.2804047743993472E-8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6.2045626344412879E-8</v>
      </c>
      <c r="L351" s="636">
        <f t="shared" si="20"/>
        <v>6.2045626344412879E-8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5.2937613369871656E-6</v>
      </c>
      <c r="L352" s="636">
        <f t="shared" si="20"/>
        <v>5.2937613369871656E-6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8.0120690068264126E-5</v>
      </c>
      <c r="L353" s="636">
        <f t="shared" si="20"/>
        <v>8.0120690068264126E-5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7.4828121848382495E-5</v>
      </c>
      <c r="L354" s="636">
        <f t="shared" si="20"/>
        <v>7.4828121848382495E-5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2.6871709468726646E-4</v>
      </c>
      <c r="L355" s="636">
        <f t="shared" si="20"/>
        <v>2.6871709468726646E-4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1.1931171055352786E-6</v>
      </c>
      <c r="L358" s="636">
        <f t="shared" si="20"/>
        <v>1.1931171055352786E-6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1.6317023800857303E-4</v>
      </c>
      <c r="L359" s="636">
        <f t="shared" si="20"/>
        <v>1.6317023800857303E-4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0.19372699571798091</v>
      </c>
      <c r="L360" s="636">
        <f t="shared" si="20"/>
        <v>0.19372699571798091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1.0487571670397148E-4</v>
      </c>
      <c r="L364" s="636">
        <f t="shared" si="21"/>
        <v>1.0487571670397148E-4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8.0773754683217806E-4</v>
      </c>
      <c r="L365" s="636">
        <f>IF(ISBLANK(I365),IF(ISNUMBER(J365)=FALSE,K365,J365),I365)</f>
        <v>8.0773754683217806E-4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2.2804047743993472E-6</v>
      </c>
      <c r="L366" s="636">
        <f t="shared" si="21"/>
        <v>2.2804047743993472E-6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3.1022813172206444E-9</v>
      </c>
      <c r="L367" s="636">
        <f>IF(ISBLANK(I367),IF(ISNUMBER(J367)=FALSE,K367,J367),I367)</f>
        <v>3.1022813172206444E-9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3.6350535604766547E-3</v>
      </c>
      <c r="L368" s="636">
        <f t="shared" si="21"/>
        <v>3.6350535604766547E-3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4.4612168860281683E-6</v>
      </c>
      <c r="L369" s="636">
        <f t="shared" si="21"/>
        <v>4.4612168860281683E-6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4.5730501825812043E-9</v>
      </c>
      <c r="L375" s="636">
        <f t="shared" ref="L375:L381" si="22">IF(ISBLANK(I375),IF(ISNUMBER(J375)=FALSE,K375,J375),I375)</f>
        <v>4.5730501825812043E-9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1.9028327176234441E-8</v>
      </c>
      <c r="L376" s="636">
        <f t="shared" si="22"/>
        <v>1.9028327176234441E-8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1.3704672863057882E-5</v>
      </c>
      <c r="L377" s="636">
        <f t="shared" si="22"/>
        <v>1.3704672863057882E-5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1.4477684685731238E-8</v>
      </c>
      <c r="L383" s="636">
        <f>IF(ISBLANK(I383),IF(ISNUMBER(J383)=FALSE,K383,J383),I383)</f>
        <v>1.4477684685731238E-8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2.8156138301914875E-10</v>
      </c>
      <c r="L384" s="636">
        <f>IF(ISBLANK(I384),IF(ISNUMBER(J384)=FALSE,K384,J384),I384)</f>
        <v>2.8156138301914875E-10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2.2730835199442014E-9</v>
      </c>
      <c r="L388" s="636">
        <f>IF(ISBLANK(I388),IF(ISNUMBER(J388)=FALSE,K388,J388),I388)</f>
        <v>2.2730835199442014E-9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7.4111837036651114E-5</v>
      </c>
      <c r="L395" s="636">
        <f t="shared" ref="L395:L410" si="23">IF(ISBLANK(I395),IF(ISNUMBER(J395)=FALSE,K395,J395),I395)</f>
        <v>7.4111837036651114E-5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1.1260785786203783E-7</v>
      </c>
      <c r="L396" s="636">
        <f t="shared" si="23"/>
        <v>1.1260785786203783E-7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1.1260785786203783E-7</v>
      </c>
      <c r="L397" s="636">
        <f t="shared" si="23"/>
        <v>1.1260785786203783E-7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2.3802113986132248E-8</v>
      </c>
      <c r="L398" s="636">
        <f t="shared" si="23"/>
        <v>2.3802113986132248E-8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1.070151530124346E-7</v>
      </c>
      <c r="L399" s="636">
        <f t="shared" si="23"/>
        <v>1.070151530124346E-7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7.4111470710769281E-5</v>
      </c>
      <c r="L401" s="636">
        <f t="shared" si="23"/>
        <v>7.4111470710769281E-5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1.1260785786203783E-7</v>
      </c>
      <c r="L404" s="636">
        <f t="shared" si="23"/>
        <v>1.1260785786203783E-7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1.1260785786203783E-7</v>
      </c>
      <c r="L405" s="636">
        <f t="shared" si="23"/>
        <v>1.1260785786203783E-7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2.3799999999999998E-8</v>
      </c>
      <c r="L409" s="636">
        <f t="shared" si="23"/>
        <v>2.3799999999999998E-8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-8.3609857945769067E-5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1.8437857788422397E-8</v>
      </c>
      <c r="K9" s="179">
        <f>k.s2R.aR</f>
        <v>4.6230714339618E-8</v>
      </c>
      <c r="L9" s="179">
        <f>k.s3R.aR</f>
        <v>1.0159385605760333E-7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1.817648401949789E-8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1.0292726907003819E-10</v>
      </c>
      <c r="K10" s="655">
        <f>k.s2R.w0R</f>
        <v>4.6837059847173547E-11</v>
      </c>
      <c r="L10" s="655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1.999413242144768E-7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3.1809045840657848E-8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1.6917107829033354E-8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-4.798636813579602E-8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-2.8696244679005889E-8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2.020577293261171E-6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-6.3136647540279232E-8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4.4901717628026015E-6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-9.0251975160279368E-8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7.4836196046710032E-7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-1.4629263440093478E-7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-7.5531155663674231E-5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179">
        <f>k.s1C.aC</f>
        <v>1.8437857788422397E-8</v>
      </c>
      <c r="T18" s="179">
        <f>k.s2C.aC</f>
        <v>4.6230748999839204E-8</v>
      </c>
      <c r="U18" s="179">
        <f>k.s3C.aC</f>
        <v>1.015939322248349E-7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8.5554970980107042E-9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1.029272690700382E-10</v>
      </c>
      <c r="T19" s="179">
        <f>k.s2C.w0C</f>
        <v>4.6837059847173554E-11</v>
      </c>
      <c r="U19" s="179">
        <f>k.s3C.w0C</f>
        <v>1.0292632472255285E-10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9.4110468078117723E-8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179">
        <f>k.s1C.w1C</f>
        <v>1.1321999597704203E-9</v>
      </c>
      <c r="T20" s="179">
        <f>k.s2C.w1C</f>
        <v>5.1520765831890899E-10</v>
      </c>
      <c r="U20" s="179">
        <f>k.s3C.w1C</f>
        <v>1.1321895719480812E-9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3.6456140819686415E-6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1.8116147920780187E-8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-4.798636813579602E-8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-2.8696244679005893E-8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9.5196497494317357E-7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-6.3136647540279232E-8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2.1154777220959411E-6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-9.0252009820500579E-8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3.5257962034932348E-7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-1.4629271056816633E-7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-7.4848157672445073E-5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1.8437857788422397E-8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3.3720062167776929E-6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-2.8696244679005889E-8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3.6309033273610365E-6</v>
      </c>
      <c r="W31" s="376">
        <v>0</v>
      </c>
      <c r="X31" s="376">
        <v>0</v>
      </c>
      <c r="Y31" s="376">
        <v>0</v>
      </c>
      <c r="Z31" s="378">
        <f>-k.sM-SUM(Z9:Z30,Z32:Z41)</f>
        <v>-6.3136647540279232E-8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-6.5296132811023321E-5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1.723371587280169E-9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5.5685758372556022E-6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-2.1134083836396671E-8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3.2835382662743536E-6</v>
      </c>
      <c r="AB36" s="376">
        <v>0</v>
      </c>
      <c r="AC36" s="376">
        <v>0</v>
      </c>
      <c r="AD36" s="376">
        <v>0</v>
      </c>
      <c r="AE36" s="378">
        <f>-k.sA-SUM(AE9:AE35,AE37:AE41)</f>
        <v>-1.1640498166630926E-8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-8.0121056394145959E-5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6.2045626344412879E-8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3.7790459375837957E-6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-4.2830441162366692E-8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1.8304496651458033E-6</v>
      </c>
      <c r="AG41" s="373">
        <v>0</v>
      </c>
      <c r="AH41" s="373">
        <v>0</v>
      </c>
      <c r="AI41" s="373">
        <v>0</v>
      </c>
      <c r="AJ41" s="381">
        <f>-k.sT-SUM(AJ9:AJ40)</f>
        <v>-1.7133386287679167E-7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77010614.253179237</v>
      </c>
      <c r="D45" s="370">
        <f t="array" ref="D45:AJ45">TRANSPOSE(MMULT(MINVERSE(D9:AJ41),-TRANSPOSE(D5:AJ5)))</f>
        <v>27090.197227179189</v>
      </c>
      <c r="E45" s="370">
        <v>18736.265362097307</v>
      </c>
      <c r="F45" s="370">
        <v>607637.40982099995</v>
      </c>
      <c r="G45" s="370">
        <v>20545.962212164734</v>
      </c>
      <c r="H45" s="370">
        <v>58200327.633545518</v>
      </c>
      <c r="I45" s="370">
        <v>982264.93358260626</v>
      </c>
      <c r="J45" s="370">
        <v>866974.08747089317</v>
      </c>
      <c r="K45" s="370">
        <v>14383817.998673541</v>
      </c>
      <c r="L45" s="370">
        <v>138580.27226996658</v>
      </c>
      <c r="M45" s="370">
        <v>3506.3835596841786</v>
      </c>
      <c r="N45" s="370">
        <v>592.66256925224695</v>
      </c>
      <c r="O45" s="370">
        <v>226.42702956399003</v>
      </c>
      <c r="P45" s="370">
        <v>363238.59711576102</v>
      </c>
      <c r="Q45" s="370">
        <v>21687.485155985993</v>
      </c>
      <c r="R45" s="370">
        <v>868288.70019848004</v>
      </c>
      <c r="S45" s="370">
        <v>52868.729455525667</v>
      </c>
      <c r="T45" s="370">
        <v>82188.488881168742</v>
      </c>
      <c r="U45" s="370">
        <v>8450.7244378147079</v>
      </c>
      <c r="V45" s="370">
        <v>76.13199422492211</v>
      </c>
      <c r="W45" s="370">
        <v>36384.770403949791</v>
      </c>
      <c r="X45" s="370">
        <v>162884.85854838009</v>
      </c>
      <c r="Y45" s="370">
        <v>25957.425456067984</v>
      </c>
      <c r="Z45" s="370">
        <v>4378.2481636128759</v>
      </c>
      <c r="AA45" s="370">
        <v>1.7186721691687934</v>
      </c>
      <c r="AB45" s="370">
        <v>8039.1075483657069</v>
      </c>
      <c r="AC45" s="370">
        <v>101410.96013856928</v>
      </c>
      <c r="AD45" s="370">
        <v>21943.577652452877</v>
      </c>
      <c r="AE45" s="370">
        <v>484.80105867151337</v>
      </c>
      <c r="AF45" s="370">
        <v>0.6415985913060176</v>
      </c>
      <c r="AG45" s="370">
        <v>42.143345340313225</v>
      </c>
      <c r="AH45" s="370">
        <v>1789.0380646237286</v>
      </c>
      <c r="AI45" s="370">
        <v>191.01743120173327</v>
      </c>
      <c r="AJ45" s="371">
        <v>6.8545348064594487</v>
      </c>
    </row>
    <row r="46" spans="1:36" ht="12.75" customHeight="1" x14ac:dyDescent="0.3">
      <c r="B46" s="255" t="s">
        <v>2410</v>
      </c>
      <c r="C46" s="531">
        <f>SUM(D46:AJ46)</f>
        <v>77301836.203297094</v>
      </c>
      <c r="D46" s="383">
        <f>D45</f>
        <v>27090.197227179189</v>
      </c>
      <c r="E46" s="383"/>
      <c r="F46" s="383">
        <f t="shared" ref="F46:AJ46" si="0">F45</f>
        <v>607637.40982099995</v>
      </c>
      <c r="G46" s="383">
        <f t="shared" si="0"/>
        <v>20545.962212164734</v>
      </c>
      <c r="H46" s="383">
        <f t="shared" si="0"/>
        <v>58200327.633545518</v>
      </c>
      <c r="I46" s="383">
        <f t="shared" si="0"/>
        <v>982264.93358260626</v>
      </c>
      <c r="J46" s="383">
        <f t="shared" si="0"/>
        <v>866974.08747089317</v>
      </c>
      <c r="K46" s="383">
        <f t="shared" si="0"/>
        <v>14383817.998673541</v>
      </c>
      <c r="L46" s="383">
        <f t="shared" si="0"/>
        <v>138580.27226996658</v>
      </c>
      <c r="M46" s="383">
        <f t="shared" si="0"/>
        <v>3506.3835596841786</v>
      </c>
      <c r="N46" s="383"/>
      <c r="O46" s="383">
        <f t="shared" si="0"/>
        <v>226.42702956399003</v>
      </c>
      <c r="P46" s="383">
        <f t="shared" si="0"/>
        <v>363238.59711576102</v>
      </c>
      <c r="Q46" s="383">
        <f t="shared" si="0"/>
        <v>21687.485155985993</v>
      </c>
      <c r="R46" s="383">
        <f t="shared" si="0"/>
        <v>868288.70019848004</v>
      </c>
      <c r="S46" s="383">
        <f t="shared" si="0"/>
        <v>52868.729455525667</v>
      </c>
      <c r="T46" s="383">
        <f t="shared" si="0"/>
        <v>82188.488881168742</v>
      </c>
      <c r="U46" s="383">
        <f t="shared" si="0"/>
        <v>8450.7244378147079</v>
      </c>
      <c r="V46" s="383">
        <f t="shared" si="0"/>
        <v>76.13199422492211</v>
      </c>
      <c r="W46" s="383">
        <f>SUM(W45:X45)</f>
        <v>199269.62895232986</v>
      </c>
      <c r="X46" s="383">
        <f>SUM(W45:X45)</f>
        <v>199269.62895232986</v>
      </c>
      <c r="Y46" s="383">
        <f t="shared" si="0"/>
        <v>25957.425456067984</v>
      </c>
      <c r="Z46" s="383">
        <f t="shared" si="0"/>
        <v>4378.2481636128759</v>
      </c>
      <c r="AA46" s="383">
        <f t="shared" si="0"/>
        <v>1.7186721691687934</v>
      </c>
      <c r="AB46" s="383">
        <f>SUM(AB45:AC45)</f>
        <v>109450.06768693498</v>
      </c>
      <c r="AC46" s="383">
        <f>SUM(AB45:AC45)</f>
        <v>109450.06768693498</v>
      </c>
      <c r="AD46" s="383">
        <f t="shared" si="0"/>
        <v>21943.577652452877</v>
      </c>
      <c r="AE46" s="383">
        <f t="shared" si="0"/>
        <v>484.80105867151337</v>
      </c>
      <c r="AF46" s="383">
        <f t="shared" si="0"/>
        <v>0.6415985913060176</v>
      </c>
      <c r="AG46" s="383">
        <f>SUM(AG45:AH45)</f>
        <v>1831.1814099640419</v>
      </c>
      <c r="AH46" s="383">
        <f>SUM(AG45:AH45)</f>
        <v>1831.1814099640419</v>
      </c>
      <c r="AI46" s="383">
        <f t="shared" si="0"/>
        <v>191.01743120173327</v>
      </c>
      <c r="AJ46" s="384">
        <f t="shared" si="0"/>
        <v>6.8545348064594487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-1.394688565771407</v>
      </c>
      <c r="E48" s="515" t="e">
        <f t="shared" ref="E48:AJ48" si="1">IF(E49&gt;0.0001,LOG(E46/E47),"")</f>
        <v>#DIV/0!</v>
      </c>
      <c r="F48" s="515">
        <f t="shared" si="1"/>
        <v>-0.29278235422775739</v>
      </c>
      <c r="G48" s="515">
        <f t="shared" si="1"/>
        <v>-0.29693478513557758</v>
      </c>
      <c r="H48" s="515">
        <f t="shared" si="1"/>
        <v>2.5557050108027775</v>
      </c>
      <c r="I48" s="515">
        <f t="shared" si="1"/>
        <v>2.8331431253436938</v>
      </c>
      <c r="J48" s="515">
        <f t="shared" si="1"/>
        <v>2.5818965587447567</v>
      </c>
      <c r="K48" s="515">
        <f t="shared" si="1"/>
        <v>-0.15632458189076029</v>
      </c>
      <c r="L48" s="515">
        <f t="shared" si="1"/>
        <v>2.2169556158918891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-0.66991611379263061</v>
      </c>
      <c r="Q48" s="515">
        <f t="shared" si="1"/>
        <v>1.685482649485383</v>
      </c>
      <c r="R48" s="515">
        <f t="shared" si="1"/>
        <v>2.4603184957577935</v>
      </c>
      <c r="S48" s="515">
        <f t="shared" si="1"/>
        <v>0.91254756468399656</v>
      </c>
      <c r="T48" s="515">
        <f t="shared" si="1"/>
        <v>0.31726256265800268</v>
      </c>
      <c r="U48" s="515">
        <f t="shared" si="1"/>
        <v>0.54760639571585101</v>
      </c>
      <c r="V48" s="515" t="str">
        <f t="shared" si="1"/>
        <v/>
      </c>
      <c r="W48" s="515">
        <f t="shared" si="1"/>
        <v>-1.350262828721895</v>
      </c>
      <c r="X48" s="515">
        <f t="shared" si="1"/>
        <v>-1.350262828721895</v>
      </c>
      <c r="Y48" s="515">
        <f t="shared" si="1"/>
        <v>1.2170537982119001</v>
      </c>
      <c r="Z48" s="515" t="str">
        <f t="shared" si="1"/>
        <v/>
      </c>
      <c r="AA48" s="515" t="str">
        <f t="shared" si="1"/>
        <v/>
      </c>
      <c r="AB48" s="515">
        <f t="shared" si="1"/>
        <v>-2.2666325496848478</v>
      </c>
      <c r="AC48" s="515">
        <f t="shared" si="1"/>
        <v>-2.2666325496848478</v>
      </c>
      <c r="AD48" s="515">
        <f t="shared" si="1"/>
        <v>0.45088996977452128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0.99999999999999978</v>
      </c>
      <c r="D49" s="151">
        <f t="shared" ref="D49:AJ49" si="2">D45/SUM($D45:$AJ45)</f>
        <v>3.517722523043091E-4</v>
      </c>
      <c r="E49" s="151">
        <f t="shared" si="2"/>
        <v>2.4329458404915677E-4</v>
      </c>
      <c r="F49" s="151">
        <f t="shared" si="2"/>
        <v>7.8903072740510553E-3</v>
      </c>
      <c r="G49" s="151">
        <f t="shared" si="2"/>
        <v>2.6679390122273352E-4</v>
      </c>
      <c r="H49" s="151">
        <f t="shared" si="2"/>
        <v>0.75574423341445851</v>
      </c>
      <c r="I49" s="151">
        <f t="shared" si="2"/>
        <v>1.2754929214735556E-2</v>
      </c>
      <c r="J49" s="151">
        <f t="shared" si="2"/>
        <v>1.1257851867284669E-2</v>
      </c>
      <c r="K49" s="151">
        <f t="shared" si="2"/>
        <v>0.18677708440794227</v>
      </c>
      <c r="L49" s="151">
        <f t="shared" si="2"/>
        <v>1.7994957398258325E-3</v>
      </c>
      <c r="M49" s="151">
        <f t="shared" si="2"/>
        <v>4.5531172471324943E-5</v>
      </c>
      <c r="N49" s="151">
        <f t="shared" si="2"/>
        <v>7.6958556297683344E-6</v>
      </c>
      <c r="O49" s="151">
        <f t="shared" si="2"/>
        <v>2.9402054737492554E-6</v>
      </c>
      <c r="P49" s="151">
        <f t="shared" si="2"/>
        <v>4.7167341883754084E-3</v>
      </c>
      <c r="Q49" s="151">
        <f t="shared" si="2"/>
        <v>2.81616831216103E-4</v>
      </c>
      <c r="R49" s="151">
        <f t="shared" si="2"/>
        <v>1.1274922406720504E-2</v>
      </c>
      <c r="S49" s="151">
        <f t="shared" si="2"/>
        <v>6.8651224208801946E-4</v>
      </c>
      <c r="T49" s="151">
        <f t="shared" si="2"/>
        <v>1.0672358567478345E-3</v>
      </c>
      <c r="U49" s="151">
        <f t="shared" si="2"/>
        <v>1.0973454139752996E-4</v>
      </c>
      <c r="V49" s="151">
        <f t="shared" si="2"/>
        <v>9.8859092299447729E-7</v>
      </c>
      <c r="W49" s="151">
        <f t="shared" si="2"/>
        <v>4.7246435776153694E-4</v>
      </c>
      <c r="X49" s="151">
        <f t="shared" si="2"/>
        <v>2.1150962127490847E-3</v>
      </c>
      <c r="Y49" s="151">
        <f t="shared" si="2"/>
        <v>3.3706295824015428E-4</v>
      </c>
      <c r="Z49" s="151">
        <f t="shared" si="2"/>
        <v>5.6852528785434639E-5</v>
      </c>
      <c r="AA49" s="151">
        <f t="shared" si="2"/>
        <v>2.2317341392947548E-8</v>
      </c>
      <c r="AB49" s="151">
        <f t="shared" si="2"/>
        <v>1.0438960429449928E-4</v>
      </c>
      <c r="AC49" s="151">
        <f t="shared" si="2"/>
        <v>1.3168439327749255E-3</v>
      </c>
      <c r="AD49" s="151">
        <f t="shared" si="2"/>
        <v>2.8494224939319945E-4</v>
      </c>
      <c r="AE49" s="151">
        <f t="shared" si="2"/>
        <v>6.295249860982628E-6</v>
      </c>
      <c r="AF49" s="151">
        <f t="shared" si="2"/>
        <v>8.3313007892224473E-9</v>
      </c>
      <c r="AG49" s="151">
        <f t="shared" si="2"/>
        <v>5.4724073751396445E-7</v>
      </c>
      <c r="AH49" s="151">
        <f t="shared" si="2"/>
        <v>2.3231058237532128E-5</v>
      </c>
      <c r="AI49" s="151">
        <f t="shared" si="2"/>
        <v>2.4804039424195021E-6</v>
      </c>
      <c r="AJ49" s="253">
        <f t="shared" si="2"/>
        <v>8.9007663072580566E-8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1.1800408253334142E-10</v>
      </c>
      <c r="E50" s="179">
        <f t="shared" si="3"/>
        <v>3.2788669312853495E-7</v>
      </c>
      <c r="F50" s="179">
        <f t="shared" si="3"/>
        <v>3.2223397371589633E-5</v>
      </c>
      <c r="G50" s="179">
        <f t="shared" si="3"/>
        <v>2.0545962212164711E-6</v>
      </c>
      <c r="H50" s="179">
        <f t="shared" si="3"/>
        <v>0.30864003008717183</v>
      </c>
      <c r="I50" s="179">
        <f t="shared" si="3"/>
        <v>3.2742164452753512E-2</v>
      </c>
      <c r="J50" s="179">
        <f t="shared" si="3"/>
        <v>2.8096558067822419E-4</v>
      </c>
      <c r="K50" s="179">
        <f t="shared" si="3"/>
        <v>5.2441330878481949E-4</v>
      </c>
      <c r="L50" s="179">
        <f t="shared" si="3"/>
        <v>1.2125849610182139E-4</v>
      </c>
      <c r="M50" s="179">
        <f t="shared" si="3"/>
        <v>4.8704845083643141E-13</v>
      </c>
      <c r="N50" s="179">
        <f t="shared" si="3"/>
        <v>6.8008006018893234E-10</v>
      </c>
      <c r="O50" s="179">
        <f t="shared" si="3"/>
        <v>7.873482590483474E-10</v>
      </c>
      <c r="P50" s="179">
        <f t="shared" si="3"/>
        <v>4.8909034703380593E-10</v>
      </c>
      <c r="Q50" s="179">
        <f t="shared" si="3"/>
        <v>7.541327426139621E-6</v>
      </c>
      <c r="R50" s="179">
        <f t="shared" si="3"/>
        <v>7.7941721149247365E-6</v>
      </c>
      <c r="S50" s="179">
        <f t="shared" si="3"/>
        <v>1.1234601077188823E-6</v>
      </c>
      <c r="T50" s="179">
        <f t="shared" si="3"/>
        <v>1.9648178746291838E-7</v>
      </c>
      <c r="U50" s="179">
        <f t="shared" si="3"/>
        <v>4.8486014491856812E-7</v>
      </c>
      <c r="V50" s="179">
        <f t="shared" si="3"/>
        <v>9.8144690109035484E-16</v>
      </c>
      <c r="W50" s="179">
        <f t="shared" si="3"/>
        <v>9.381002172185544E-12</v>
      </c>
      <c r="X50" s="179">
        <f t="shared" si="3"/>
        <v>1.3998743566737035E-12</v>
      </c>
      <c r="Y50" s="179">
        <f t="shared" si="3"/>
        <v>2.230847887584709E-8</v>
      </c>
      <c r="Z50" s="179">
        <f t="shared" si="3"/>
        <v>2.2576674293792494E-9</v>
      </c>
      <c r="AA50" s="179">
        <f t="shared" si="3"/>
        <v>4.0439345156912783E-17</v>
      </c>
      <c r="AB50" s="179">
        <f t="shared" si="3"/>
        <v>3.1525911954375321E-12</v>
      </c>
      <c r="AC50" s="179">
        <f t="shared" si="3"/>
        <v>1.3256334658636507E-12</v>
      </c>
      <c r="AD50" s="179">
        <f t="shared" si="3"/>
        <v>2.8684415231964546E-8</v>
      </c>
      <c r="AE50" s="179">
        <f t="shared" si="3"/>
        <v>5.7035418667236867E-10</v>
      </c>
      <c r="AF50" s="179">
        <f t="shared" si="3"/>
        <v>5.0321458141648436E-18</v>
      </c>
      <c r="AG50" s="179">
        <f t="shared" si="3"/>
        <v>4.7219434554972803E-15</v>
      </c>
      <c r="AH50" s="179">
        <f t="shared" si="3"/>
        <v>6.6817481405181283E-15</v>
      </c>
      <c r="AI50" s="179">
        <f t="shared" si="3"/>
        <v>7.1341710999713635E-11</v>
      </c>
      <c r="AJ50" s="380">
        <f t="shared" si="3"/>
        <v>3.5840704870376193E-12</v>
      </c>
    </row>
    <row r="51" spans="1:36" ht="12.75" customHeight="1" x14ac:dyDescent="0.3">
      <c r="B51" s="141" t="s">
        <v>703</v>
      </c>
      <c r="C51" s="254"/>
      <c r="D51" s="385">
        <f>D50*8.314*TEMP.R</f>
        <v>2.7960949352192716E-7</v>
      </c>
      <c r="E51" s="385">
        <f>E50*Kaw.R*8.314*TEMP.R</f>
        <v>9.9894640820688559E-6</v>
      </c>
      <c r="F51" s="385">
        <f>F50*Kaw.R*8.314*TEMP.R</f>
        <v>9.8172471585951382E-4</v>
      </c>
      <c r="G51" s="385">
        <f>G50*Kaw.R*8.314*TEMP.R</f>
        <v>6.2595755134687913E-5</v>
      </c>
      <c r="H51" s="385">
        <f>H50*Kaw.R/Ksdw1.R*8.314*TEMP.R</f>
        <v>9.6257122048658314E-2</v>
      </c>
      <c r="I51" s="385">
        <f>I50*Kaw.R/Ksdw2.R*8.314*TEMP.R</f>
        <v>1.0211463882296098E-2</v>
      </c>
      <c r="J51" s="385">
        <f>J50*Kaw.R/Ks1w.R*8.314*TEMP.R</f>
        <v>7.3498290967226828E-5</v>
      </c>
      <c r="K51" s="385">
        <f>K50*Kaw.R/Ks2w.R*8.314*TEMP.R</f>
        <v>1.3718093572202353E-4</v>
      </c>
      <c r="L51" s="385">
        <f>L50*Kaw.R/Ks3w.R*8.314*TEMP.R</f>
        <v>3.1719930979705002E-5</v>
      </c>
      <c r="M51" s="385">
        <f>M50*8.314*TEMP.C</f>
        <v>1.1540564337724158E-9</v>
      </c>
      <c r="N51" s="385">
        <f>N50*Kaw.C*8.314*TEMP.C</f>
        <v>2.0719460339689328E-8</v>
      </c>
      <c r="O51" s="385">
        <f>O50*Kaw.C*8.314*TEMP.C</f>
        <v>2.3987515561540877E-8</v>
      </c>
      <c r="P51" s="385">
        <f>P50*Kaw.C*8.314*TEMP.C</f>
        <v>1.4900728077627511E-8</v>
      </c>
      <c r="Q51" s="385">
        <f>Q50*Kaw.C/Ksdw1.C*8.314*TEMP.C</f>
        <v>2.3519518004900138E-6</v>
      </c>
      <c r="R51" s="385">
        <f>R50*Kaw.C/Ksdw2.C*8.314*TEMP.C</f>
        <v>2.4308077481804992E-6</v>
      </c>
      <c r="S51" s="385">
        <f>S50*Kaw.C/Ks1w.C*8.314*TEMP.C</f>
        <v>2.9388794772609688E-7</v>
      </c>
      <c r="T51" s="385">
        <f>T50*Kaw.C/Ks2w.C*8.314*TEMP.C</f>
        <v>5.1397542749165127E-8</v>
      </c>
      <c r="U51" s="385">
        <f>U50*Kaw.C/Ks3w.C*8.314*TEMP.C</f>
        <v>1.2683424936024527E-7</v>
      </c>
      <c r="V51" s="385">
        <f>V50*8.314*TEMP.M</f>
        <v>2.325528617664585E-12</v>
      </c>
      <c r="W51" s="385">
        <f>W50*Kaw.M*8.314*TEMP.M</f>
        <v>2.858035602442752E-10</v>
      </c>
      <c r="X51" s="385">
        <f>X50*Kaw.M*8.314*TEMP.M</f>
        <v>4.2648862849457987E-11</v>
      </c>
      <c r="Y51" s="385">
        <f>Y50*Kaw.M/Ksdw.M*8.314*TEMP.M</f>
        <v>6.9574577648461055E-9</v>
      </c>
      <c r="Z51" s="372">
        <f>Z50*Kaw.M/Kslw.M*8.314*TEMP.M</f>
        <v>5.9058727845309937E-10</v>
      </c>
      <c r="AA51" s="385">
        <f>AA50*8.314*TEMP.A</f>
        <v>8.8423944211892671E-14</v>
      </c>
      <c r="AB51" s="385">
        <f>AB50*Kaw.A*8.314*TEMP.A</f>
        <v>7.4344596873682602E-12</v>
      </c>
      <c r="AC51" s="385">
        <f>AC50*Kaw.A*8.314*TEMP.A</f>
        <v>3.1261168832966315E-12</v>
      </c>
      <c r="AD51" s="385">
        <f>AD50*Kaw.A/Ksdw.A*8.314*TEMP.A</f>
        <v>6.9245248057298171E-10</v>
      </c>
      <c r="AE51" s="372">
        <f>AE50*Kaw.A/Kslw.A*8.314*TEMP.A</f>
        <v>1.1548675400399547E-11</v>
      </c>
      <c r="AF51" s="385">
        <f>AF50*8.314*TEMP.T</f>
        <v>1.246750356909202E-14</v>
      </c>
      <c r="AG51" s="385">
        <f>AG50*Kaw.T*8.314*TEMP.T</f>
        <v>5.4633231287468069E-13</v>
      </c>
      <c r="AH51" s="385">
        <f>AH50*Kaw.T*8.314*TEMP.T</f>
        <v>7.7308314893214393E-13</v>
      </c>
      <c r="AI51" s="385">
        <f>AI50*Kaw.T/Ksdw.T*8.314*TEMP.T</f>
        <v>8.4497108680867746E-11</v>
      </c>
      <c r="AJ51" s="386">
        <f>AJ50*Kaw.T/Kslw.T*8.314*TEMP.T</f>
        <v>3.560558945489045E-12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0.62986435417295228</v>
      </c>
      <c r="E55" s="370">
        <f t="shared" ref="E55:AJ55" si="4">E9*E$45</f>
        <v>3.6249329035829906E-4</v>
      </c>
      <c r="F55" s="370">
        <f t="shared" si="4"/>
        <v>0.38767092191926811</v>
      </c>
      <c r="G55" s="370">
        <f t="shared" si="4"/>
        <v>4.3542681203835136E-3</v>
      </c>
      <c r="H55" s="389">
        <f t="shared" si="4"/>
        <v>0</v>
      </c>
      <c r="I55" s="389">
        <f t="shared" si="4"/>
        <v>0</v>
      </c>
      <c r="J55" s="370">
        <f t="shared" si="4"/>
        <v>1.5985144931035609E-2</v>
      </c>
      <c r="K55" s="370">
        <f t="shared" si="4"/>
        <v>0.66497418100973238</v>
      </c>
      <c r="L55" s="370">
        <f t="shared" si="4"/>
        <v>1.4078904233418463E-2</v>
      </c>
      <c r="M55" s="370">
        <f t="shared" si="4"/>
        <v>1.0532822950919171E-3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4.9240453698486857E-4</v>
      </c>
      <c r="E56" s="378">
        <f>SUM(D56,F56:AJ56)-SUM(E55,E57:E87)</f>
        <v>8.621901197077952E-4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8.9235275177867453E-5</v>
      </c>
      <c r="K56" s="376">
        <f t="shared" si="6"/>
        <v>6.7369574443472467E-4</v>
      </c>
      <c r="L56" s="376">
        <f t="shared" si="6"/>
        <v>1.4263558103798364E-5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5.4164499068335547E-3</v>
      </c>
      <c r="E57" s="179">
        <f t="shared" ref="E57:E87" si="7">E11*E$45</f>
        <v>4.4915704635164771E-5</v>
      </c>
      <c r="F57" s="378">
        <f>SUM(D57:E57,G57:AJ57)-SUM(F55:F56,F58:F87)</f>
        <v>-1.1488660929539303</v>
      </c>
      <c r="G57" s="376">
        <f t="shared" ref="G57:AJ57" si="8">G11*G$45</f>
        <v>0</v>
      </c>
      <c r="H57" s="179">
        <f t="shared" si="8"/>
        <v>2.0617580347960489</v>
      </c>
      <c r="I57" s="376">
        <f t="shared" si="8"/>
        <v>0</v>
      </c>
      <c r="J57" s="179">
        <f t="shared" si="8"/>
        <v>9.8158802695654207E-4</v>
      </c>
      <c r="K57" s="179">
        <f t="shared" si="8"/>
        <v>7.4106531887819724E-3</v>
      </c>
      <c r="L57" s="179">
        <f t="shared" si="8"/>
        <v>1.5689913914178203E-4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8.6171332543180494E-4</v>
      </c>
      <c r="E58" s="179">
        <f t="shared" si="7"/>
        <v>0</v>
      </c>
      <c r="F58" s="179">
        <f t="shared" ref="F58:F87" si="9">F12*F$45</f>
        <v>4.4141364349802814E-2</v>
      </c>
      <c r="G58" s="378">
        <f>SUM(D58:F58,H58:AJ58)-SUM(G55:G57,G59:G87)</f>
        <v>9.3962851447306622E-4</v>
      </c>
      <c r="H58" s="376">
        <f t="shared" ref="H58:N58" si="10">H12*H$45</f>
        <v>0</v>
      </c>
      <c r="I58" s="179">
        <f t="shared" si="10"/>
        <v>1.6617081798095235E-2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6.0298433040715504E-6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2.7928223474472569</v>
      </c>
      <c r="G59" s="376">
        <f t="shared" ref="G59:G87" si="12">G13*G$45</f>
        <v>0</v>
      </c>
      <c r="H59" s="378">
        <f>SUM(D59:G59,I59:AJ59)-SUM(H55:H58,H60:H87)</f>
        <v>0.73106431265120797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2.8187314873693942E-2</v>
      </c>
      <c r="H60" s="376">
        <f t="shared" ref="H60:H87" si="15">H14*H$45</f>
        <v>0</v>
      </c>
      <c r="I60" s="378">
        <f>SUM(D60:H60,J60:AJ60)-SUM(I55:I59,I61:I87)</f>
        <v>1.1570233075598707E-2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5.4737837387205009E-2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3.7681869154034986E-2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0.12163963863823332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-0.55141889130471577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2.0273273106372221E-2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6.0232061757081786E-3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0.25519352472527523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0.23380803075785328</v>
      </c>
      <c r="N64" s="179">
        <f>N18*N$45</f>
        <v>1.1466330170315321E-5</v>
      </c>
      <c r="O64" s="179">
        <f>O18*O$45</f>
        <v>1.4445979440991249E-4</v>
      </c>
      <c r="P64" s="179">
        <f t="shared" ref="P64:AJ64" si="25">P18*P$45</f>
        <v>3.8490245119246389E-3</v>
      </c>
      <c r="Q64" s="376">
        <f t="shared" si="25"/>
        <v>0</v>
      </c>
      <c r="R64" s="376">
        <f t="shared" si="25"/>
        <v>0</v>
      </c>
      <c r="S64" s="179">
        <f t="shared" si="25"/>
        <v>9.7478611515556049E-4</v>
      </c>
      <c r="T64" s="179">
        <f t="shared" si="25"/>
        <v>3.7996354001413875E-3</v>
      </c>
      <c r="U64" s="179">
        <f t="shared" si="25"/>
        <v>8.585423257861034E-4</v>
      </c>
      <c r="V64" s="179">
        <f t="shared" si="25"/>
        <v>9.7632601907937181E-6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2.9998854369390434E-5</v>
      </c>
      <c r="N65" s="378">
        <f>SUM(D65:M65,O65:AJ65)-SUM(N55:N64,N66:N87)</f>
        <v>2.7272660888099501E-5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5.4416339420599447E-6</v>
      </c>
      <c r="T65" s="376">
        <f t="shared" si="27"/>
        <v>3.8494671724760589E-6</v>
      </c>
      <c r="U65" s="376">
        <f t="shared" si="27"/>
        <v>8.6980200762732954E-7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3.2998739806329468E-4</v>
      </c>
      <c r="N66" s="179">
        <f t="shared" ref="N66:N87" si="28">N20*N$45</f>
        <v>1.4207664331389483E-6</v>
      </c>
      <c r="O66" s="378">
        <f>SUM(D66:N66,P66:AJ66)-SUM(O55:O65,O67:O87)</f>
        <v>1.0307926580831357E-5</v>
      </c>
      <c r="P66" s="376">
        <f t="shared" ref="P66:AJ66" si="29">P20*P$45</f>
        <v>0</v>
      </c>
      <c r="Q66" s="179">
        <f t="shared" si="29"/>
        <v>7.6874189069215922E-4</v>
      </c>
      <c r="R66" s="376">
        <f t="shared" si="29"/>
        <v>0</v>
      </c>
      <c r="S66" s="179">
        <f t="shared" si="29"/>
        <v>5.9857973362659394E-5</v>
      </c>
      <c r="T66" s="179">
        <f t="shared" si="29"/>
        <v>4.2344138897236635E-5</v>
      </c>
      <c r="U66" s="179">
        <f t="shared" si="29"/>
        <v>9.5678220839006229E-6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2.81449778080834E-2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1.2782921281967974E-2</v>
      </c>
      <c r="N67" s="179">
        <f t="shared" si="28"/>
        <v>0</v>
      </c>
      <c r="O67" s="179">
        <f t="shared" ref="O67:O87" si="30">O21*O$45</f>
        <v>1.6448621906890104E-5</v>
      </c>
      <c r="P67" s="378">
        <f>SUM(D67:O67,Q67:AJ67)-SUM(P55:P66,P68:P87)</f>
        <v>1.6611991197233403E-2</v>
      </c>
      <c r="Q67" s="376">
        <f t="shared" ref="Q67:AJ67" si="31">Q21*Q$45</f>
        <v>0</v>
      </c>
      <c r="R67" s="179">
        <f t="shared" si="31"/>
        <v>1.5730046530737625E-2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2.2079683179963933E-4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1.0407036466347555E-3</v>
      </c>
      <c r="P68" s="376">
        <f t="shared" ref="P68:P87" si="32">P22*P$45</f>
        <v>0</v>
      </c>
      <c r="Q68" s="378">
        <f>SUM(D68:P68,R68:AJ68)-SUM(Q55:Q67,Q69:Q87)</f>
        <v>2.7196175594259631E-4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2.4916624992911574E-2</v>
      </c>
      <c r="Q69" s="376">
        <f t="shared" ref="Q69:Q87" si="34">Q23*Q$45</f>
        <v>0</v>
      </c>
      <c r="R69" s="378">
        <f>SUM(D69:Q69,S69:AJ69)-SUM(R55:R68,R70:R87)</f>
        <v>9.1865784621739492E-3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3.3379543375359048E-3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2.2978686150756248E-3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7.4176763056353432E-3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3.5718472994242427E-3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1.2362793842725572E-3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3.6729943439492581E-4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4.8450718482642664E-3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5.0765329418212789E-3</v>
      </c>
      <c r="W73" s="179">
        <f t="shared" ref="W73:AJ73" si="43">W27*W$45</f>
        <v>7.7109577152629225E-4</v>
      </c>
      <c r="X73" s="376">
        <f t="shared" si="43"/>
        <v>0</v>
      </c>
      <c r="Y73" s="376">
        <f t="shared" si="43"/>
        <v>0</v>
      </c>
      <c r="Z73" s="179">
        <f t="shared" si="43"/>
        <v>8.0725517003115717E-5</v>
      </c>
      <c r="AA73" s="179">
        <f t="shared" si="43"/>
        <v>1.1899086730053061E-6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2.5646219796893527E-7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1.1511520529121839E-2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2.5671755782212075E-4</v>
      </c>
      <c r="W74" s="378">
        <f>SUM(D74:V74,X74:AJ74)-SUM(W55:W73,W75:W87)</f>
        <v>1.6639847484906638E-3</v>
      </c>
      <c r="X74" s="376">
        <f t="shared" ref="X74:AJ74" si="45">X28*X$45</f>
        <v>1.3525517100974366E-3</v>
      </c>
      <c r="Y74" s="376">
        <f t="shared" si="45"/>
        <v>0</v>
      </c>
      <c r="Z74" s="179">
        <f t="shared" si="45"/>
        <v>5.4076935214989969E-6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7.0829151832459213E-7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9.0638781044367935E-3</v>
      </c>
      <c r="X75" s="378">
        <f>SUM(D75:W75,Y75:AJ75)-SUM(X55:X74,X76:X87)</f>
        <v>7.4492134312091479E-3</v>
      </c>
      <c r="Y75" s="376">
        <f t="shared" ref="Y75:AJ75" si="47">Y29*Y$45</f>
        <v>4.9390380261568254E-4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1.9884501987954762E-4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7.4488063212438318E-4</v>
      </c>
      <c r="Y76" s="378">
        <f>SUM(D76:X76,Z76:AJ76)-SUM(Y55:Y75,Y77:Y87)</f>
        <v>2.5097682950870064E-4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2.764279111499009E-4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1.9029470062528617E-4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2.8878612528718516E-5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9.5818855395606259E-5</v>
      </c>
      <c r="AB78" s="179">
        <f t="shared" ref="AB78:AJ78" si="53">AB32*AB$45</f>
        <v>8.2508541317938719E-5</v>
      </c>
      <c r="AC78" s="376">
        <f t="shared" si="53"/>
        <v>0</v>
      </c>
      <c r="AD78" s="376">
        <f t="shared" si="53"/>
        <v>0</v>
      </c>
      <c r="AE78" s="179">
        <f t="shared" si="53"/>
        <v>8.3549236999783238E-7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1.4071503258278318E-3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9.5705563133970159E-6</v>
      </c>
      <c r="AB79" s="378">
        <f>SUM(D79:AA79,AC79:AJ79)-SUM(AB55:AB78,AB80:AB87)</f>
        <v>8.0015026039007443E-5</v>
      </c>
      <c r="AC79" s="376">
        <f t="shared" ref="AC79:AJ79" si="55">AC33*AC$45</f>
        <v>9.1020136204122894E-4</v>
      </c>
      <c r="AD79" s="376">
        <f t="shared" si="55"/>
        <v>0</v>
      </c>
      <c r="AE79" s="179">
        <f t="shared" si="55"/>
        <v>2.2138893071297853E-7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2.1646200657562246E-3</v>
      </c>
      <c r="AC80" s="378">
        <f>SUM(D80:AB80,AD80:AJ80)-SUM(AC55:AC79,AC81:AC87)</f>
        <v>1.0093658490460083E-3</v>
      </c>
      <c r="AD80" s="376">
        <f t="shared" ref="AD80:AJ80" si="57">AD34*AD$45</f>
        <v>4.1754957498797983E-4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4.6375740977741949E-4</v>
      </c>
      <c r="AD81" s="378">
        <f>SUM(D81:AC81,AE81:AJ81)-SUM(AD55:AD80,AD82:AD87)</f>
        <v>4.6207834789439655E-5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5.6433258346464828E-6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4.5864445339356719E-6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5.0019224151835598E-5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4.7550050241816516E-5</v>
      </c>
      <c r="AG83" s="179">
        <f>AG37*AG$45</f>
        <v>9.6103885923210759E-7</v>
      </c>
      <c r="AH83" s="376">
        <f>AH37*AH$45</f>
        <v>0</v>
      </c>
      <c r="AI83" s="376">
        <f>AI37*AI$45</f>
        <v>0</v>
      </c>
      <c r="AJ83" s="380">
        <f>AJ37*AJ$45</f>
        <v>4.252939053663554E-7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2.4246305500344917E-6</v>
      </c>
      <c r="AG84" s="378">
        <f>SUM(D84:AF84,AH84:AJ84)-SUM(AG55:AG83,AG85:AG87)</f>
        <v>4.7456718419127703E-6</v>
      </c>
      <c r="AH84" s="376">
        <f>AH38*AH$45</f>
        <v>1.3551631361255389E-5</v>
      </c>
      <c r="AI84" s="179">
        <f>AI38*AI$45</f>
        <v>0</v>
      </c>
      <c r="AJ84" s="380">
        <f>AJ38*AJ$45</f>
        <v>1.558093010544689E-8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2.0998115350105554E-4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9.5768406219258598E-6</v>
      </c>
      <c r="AH85" s="378">
        <f>SUM(D85:AG85,AI85:AJ85)-SUM(AH55:AH84,AH86:AH87)</f>
        <v>2.0145974409092421E-4</v>
      </c>
      <c r="AI85" s="376">
        <f>AI39*AI$45</f>
        <v>3.634742177270434E-6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8.1813608480722667E-6</v>
      </c>
      <c r="AI86" s="378">
        <f>SUM(D86:AH86,AJ86)-SUM(AI55:AI85,AI87)</f>
        <v>4.5466186708018327E-6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1.1744139266141191E-6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7.3353909114231676E-7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6.6411357117238161</v>
      </c>
      <c r="D92" s="179">
        <f>SUM($D$55:$AJ$55)</f>
        <v>1.7183435499722401</v>
      </c>
      <c r="E92" s="179">
        <f>SUM($D$56:$AJ$56)</f>
        <v>2.1317892344090545E-3</v>
      </c>
      <c r="F92" s="179">
        <f>SUM($D$57:$AJ$57)</f>
        <v>0.92690244780846776</v>
      </c>
      <c r="G92" s="179">
        <f>SUM($D$58:$AJ$58)</f>
        <v>6.2565817831106998E-2</v>
      </c>
      <c r="H92" s="179">
        <f>SUM($D$59:$AJ$59)</f>
        <v>3.5238866600984649</v>
      </c>
      <c r="I92" s="179">
        <f>SUM($D$60:$AJ$60)</f>
        <v>3.9757547949292649E-2</v>
      </c>
      <c r="J92" s="179">
        <f>SUM($D$61:$AJ$61)</f>
        <v>9.2419706541239988E-2</v>
      </c>
      <c r="K92" s="179">
        <f>SUM($D$62:$AJ$62)</f>
        <v>-0.42977925266648243</v>
      </c>
      <c r="L92" s="179">
        <f>SUM($D$63:$AJ$63)</f>
        <v>2.6296479282080398E-2</v>
      </c>
      <c r="M92" s="179">
        <f>SUM($D$64:$AJ$64)</f>
        <v>0.49864923322090721</v>
      </c>
      <c r="N92" s="179">
        <f>SUM($D$65:$AJ$65)</f>
        <v>6.743241837965327E-5</v>
      </c>
      <c r="O92" s="179">
        <f>SUM($D$66:$AJ$66)</f>
        <v>1.2222279161132209E-3</v>
      </c>
      <c r="P92" s="179">
        <f>SUM($D$67:$AJ$67)</f>
        <v>7.3507182271728935E-2</v>
      </c>
      <c r="Q92" s="179">
        <f>SUM($D$68:$AJ$68)</f>
        <v>1.3126654025773518E-3</v>
      </c>
      <c r="R92" s="179">
        <f>SUM($D$69:$AJ$69)</f>
        <v>3.4103203455085523E-2</v>
      </c>
      <c r="S92" s="179">
        <f>SUM($D$70:$AJ$70)</f>
        <v>5.63582295261153E-3</v>
      </c>
      <c r="T92" s="179">
        <f>SUM($D$71:$AJ$71)</f>
        <v>1.0989523605059587E-2</v>
      </c>
      <c r="U92" s="179">
        <f>SUM($D$72:$AJ$72)</f>
        <v>1.603578818667483E-3</v>
      </c>
      <c r="V92" s="179">
        <f>SUM($D$73:$AJ$73)</f>
        <v>1.0774872449485929E-2</v>
      </c>
      <c r="W92" s="179">
        <f>SUM($D$74:$AJ$74)</f>
        <v>1.4790890530571884E-2</v>
      </c>
      <c r="X92" s="179">
        <f>SUM($D$75:$AJ$75)</f>
        <v>1.7205840358141173E-2</v>
      </c>
      <c r="Y92" s="179">
        <f>SUM($D$76:$AJ$76)</f>
        <v>9.9585746163308392E-4</v>
      </c>
      <c r="Z92" s="179">
        <f>SUM($D$77:$AJ$77)</f>
        <v>4.6672261177518708E-4</v>
      </c>
      <c r="AA92" s="179">
        <f>SUM($D$78:$AJ$78)</f>
        <v>2.0804150161226134E-4</v>
      </c>
      <c r="AB92" s="179">
        <f>SUM($D$79:$AJ$79)</f>
        <v>2.4071586591521781E-3</v>
      </c>
      <c r="AC92" s="179">
        <f>SUM($D$80:$AJ$80)</f>
        <v>3.5915354897902126E-3</v>
      </c>
      <c r="AD92" s="179">
        <f>SUM($D$81:$AJ$81)</f>
        <v>5.099652445668592E-4</v>
      </c>
      <c r="AE92" s="179">
        <f>SUM($D$82:$AJ$82)</f>
        <v>1.0229770368582155E-5</v>
      </c>
      <c r="AF92" s="179">
        <f>SUM($D$83:$AJ$83)</f>
        <v>9.8955607158250573E-5</v>
      </c>
      <c r="AG92" s="179">
        <f>SUM($D$84:$AJ$84)</f>
        <v>2.07375146833081E-5</v>
      </c>
      <c r="AH92" s="179">
        <f>SUM($D$85:$AJ$85)</f>
        <v>4.2465248039117608E-4</v>
      </c>
      <c r="AI92" s="179">
        <f>SUM($D$86:$AJ$86)</f>
        <v>1.2727979518874099E-5</v>
      </c>
      <c r="AJ92" s="380">
        <f>SUM($D$87:$AJ$87)</f>
        <v>1.9079530177564359E-6</v>
      </c>
    </row>
    <row r="93" spans="2:36" ht="12.75" customHeight="1" x14ac:dyDescent="0.3">
      <c r="B93" s="146" t="s">
        <v>1212</v>
      </c>
      <c r="C93" s="150">
        <f>SUM(D93:AJ93)</f>
        <v>6.6411357117238197</v>
      </c>
      <c r="D93" s="179">
        <f t="shared" ref="D93:AJ93" si="61">SUM(D55:D87)</f>
        <v>1.0884791957992883</v>
      </c>
      <c r="E93" s="179">
        <f t="shared" si="61"/>
        <v>1.2695991147012591E-3</v>
      </c>
      <c r="F93" s="179">
        <f t="shared" si="61"/>
        <v>2.0757685407623976</v>
      </c>
      <c r="G93" s="179">
        <f t="shared" si="61"/>
        <v>6.1626189316633918E-2</v>
      </c>
      <c r="H93" s="179">
        <f t="shared" si="61"/>
        <v>2.7928223474472569</v>
      </c>
      <c r="I93" s="179">
        <f t="shared" si="61"/>
        <v>2.8187314873693942E-2</v>
      </c>
      <c r="J93" s="179">
        <f t="shared" si="61"/>
        <v>5.4737837387205002E-2</v>
      </c>
      <c r="K93" s="179">
        <f t="shared" si="61"/>
        <v>0.12163963863823335</v>
      </c>
      <c r="L93" s="179">
        <f t="shared" si="61"/>
        <v>2.0273273106372221E-2</v>
      </c>
      <c r="M93" s="179">
        <f t="shared" si="61"/>
        <v>0.26484120246305393</v>
      </c>
      <c r="N93" s="179">
        <f t="shared" si="61"/>
        <v>4.0159757491553775E-5</v>
      </c>
      <c r="O93" s="179">
        <f t="shared" si="61"/>
        <v>1.2119199895323895E-3</v>
      </c>
      <c r="P93" s="179">
        <f t="shared" si="61"/>
        <v>5.6895191074495532E-2</v>
      </c>
      <c r="Q93" s="179">
        <f t="shared" si="61"/>
        <v>1.0407036466347555E-3</v>
      </c>
      <c r="R93" s="179">
        <f t="shared" si="61"/>
        <v>2.4916624992911574E-2</v>
      </c>
      <c r="S93" s="179">
        <f t="shared" si="61"/>
        <v>3.3379543375359044E-3</v>
      </c>
      <c r="T93" s="179">
        <f t="shared" si="61"/>
        <v>7.4176763056353432E-3</v>
      </c>
      <c r="U93" s="179">
        <f t="shared" si="61"/>
        <v>1.2362793842725572E-3</v>
      </c>
      <c r="V93" s="179">
        <f t="shared" si="61"/>
        <v>5.6983395076646483E-3</v>
      </c>
      <c r="W93" s="179">
        <f t="shared" si="61"/>
        <v>1.312690578208122E-2</v>
      </c>
      <c r="X93" s="179">
        <f t="shared" si="61"/>
        <v>9.7566269269320233E-3</v>
      </c>
      <c r="Y93" s="179">
        <f t="shared" si="61"/>
        <v>7.4488063212438318E-4</v>
      </c>
      <c r="Z93" s="179">
        <f t="shared" si="61"/>
        <v>2.764279111499009E-4</v>
      </c>
      <c r="AA93" s="179">
        <f t="shared" si="61"/>
        <v>1.1222264621665507E-4</v>
      </c>
      <c r="AB93" s="179">
        <f t="shared" si="61"/>
        <v>2.3271436331131707E-3</v>
      </c>
      <c r="AC93" s="179">
        <f t="shared" si="61"/>
        <v>2.5821696407442043E-3</v>
      </c>
      <c r="AD93" s="179">
        <f t="shared" si="61"/>
        <v>4.6375740977741949E-4</v>
      </c>
      <c r="AE93" s="179">
        <f t="shared" si="61"/>
        <v>5.6433258346464828E-6</v>
      </c>
      <c r="AF93" s="179">
        <f t="shared" si="61"/>
        <v>5.1405556916434064E-5</v>
      </c>
      <c r="AG93" s="179">
        <f t="shared" si="61"/>
        <v>1.599184284139533E-5</v>
      </c>
      <c r="AH93" s="179">
        <f t="shared" si="61"/>
        <v>2.2319273630025188E-4</v>
      </c>
      <c r="AI93" s="179">
        <f t="shared" si="61"/>
        <v>8.1813608480722667E-6</v>
      </c>
      <c r="AJ93" s="380">
        <f t="shared" si="61"/>
        <v>1.1744139266141191E-6</v>
      </c>
    </row>
    <row r="94" spans="2:36" ht="12.75" customHeight="1" x14ac:dyDescent="0.3">
      <c r="B94" s="152" t="s">
        <v>1211</v>
      </c>
      <c r="C94" s="150">
        <f>SUM(D94:AJ94)</f>
        <v>3.529585038264091</v>
      </c>
      <c r="D94" s="179">
        <f>k.aR*D45</f>
        <v>1.806392700260983</v>
      </c>
      <c r="E94" s="179">
        <f>k.w0R*E45</f>
        <v>8.6219011970779531E-4</v>
      </c>
      <c r="F94" s="179">
        <f>k.w1R*F45</f>
        <v>2.7662253134100211E-2</v>
      </c>
      <c r="G94" s="179">
        <f>k.w2R*G45</f>
        <v>9.3962851447308639E-4</v>
      </c>
      <c r="H94" s="179">
        <f>k.sd1R*H45</f>
        <v>0.73106431265120808</v>
      </c>
      <c r="I94" s="179">
        <f>k.sd2R*I45</f>
        <v>1.1570233075598702E-2</v>
      </c>
      <c r="J94" s="179">
        <f>k.s1R*J45</f>
        <v>3.7681869154034979E-2</v>
      </c>
      <c r="K94" s="179">
        <f>k.s2R*K45</f>
        <v>0.6251094547833147</v>
      </c>
      <c r="L94" s="179">
        <f>k.s3R*L45</f>
        <v>6.0232061757081769E-3</v>
      </c>
      <c r="M94" s="179">
        <f>k.aC*M45</f>
        <v>0.2338080307578532</v>
      </c>
      <c r="N94" s="179">
        <f>k.w0C*N45</f>
        <v>2.7272660888099484E-5</v>
      </c>
      <c r="O94" s="179">
        <f>k.w1C*O45</f>
        <v>1.0307926580831493E-5</v>
      </c>
      <c r="P94" s="179">
        <f>k.w2C*P45</f>
        <v>1.6611991197233392E-2</v>
      </c>
      <c r="Q94" s="179">
        <f>k.sd1C*Q45</f>
        <v>2.7196175594259615E-4</v>
      </c>
      <c r="R94" s="179">
        <f>k.sd2C*R45</f>
        <v>9.186578462173951E-3</v>
      </c>
      <c r="S94" s="179">
        <f>k.s1C*S45</f>
        <v>2.2978686150756226E-3</v>
      </c>
      <c r="T94" s="179">
        <f>k.s2C*T45</f>
        <v>3.5718472994242436E-3</v>
      </c>
      <c r="U94" s="179">
        <f>k.s3C*U45</f>
        <v>3.6729943439492592E-4</v>
      </c>
      <c r="V94" s="179">
        <f>k.aM*V45</f>
        <v>5.0765329418212789E-3</v>
      </c>
      <c r="W94" s="179">
        <f>k.w2M*W45</f>
        <v>1.663984748490666E-3</v>
      </c>
      <c r="X94" s="179">
        <f>k.w3M*X45</f>
        <v>7.4492134312091497E-3</v>
      </c>
      <c r="Y94" s="179">
        <f>k.sdM*Y45</f>
        <v>2.5097682950870037E-4</v>
      </c>
      <c r="Z94" s="179">
        <f>k.sM*Z45</f>
        <v>1.902947006252862E-4</v>
      </c>
      <c r="AA94" s="179">
        <f>k.aA*AA45</f>
        <v>9.5818855395606272E-5</v>
      </c>
      <c r="AB94" s="179">
        <f>k.w2A*AB45</f>
        <v>8.0015026039007036E-5</v>
      </c>
      <c r="AC94" s="179">
        <f>k.w3A*AC45</f>
        <v>1.0093658490460083E-3</v>
      </c>
      <c r="AD94" s="179">
        <f>k.sdA*AD45</f>
        <v>4.6207834789439716E-5</v>
      </c>
      <c r="AE94" s="179">
        <f>k.sA*AE45</f>
        <v>4.5864445339356719E-6</v>
      </c>
      <c r="AF94" s="179">
        <f>k.aT*AF45</f>
        <v>4.7550050241816496E-5</v>
      </c>
      <c r="AG94" s="179">
        <f>k.w2T*AG45</f>
        <v>4.7456718419127661E-6</v>
      </c>
      <c r="AH94" s="179">
        <f>k.w3T*AH45</f>
        <v>2.0145974409092407E-4</v>
      </c>
      <c r="AI94" s="179">
        <f>k.sdT*AI45</f>
        <v>4.5466186708018302E-6</v>
      </c>
      <c r="AJ94" s="374">
        <f>k.sT*AJ45</f>
        <v>7.3353909114231665E-7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3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16511135449.470554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820503502.89365315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175351092.68040988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29225182.11340164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33812682650.907925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60715514.992552631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134923442.26368544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22487240.37728091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30895961166.330822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5.5751676855247755E-5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6.6680677335514423E-5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6.6680677335514423E-5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6.6680677335514423E-5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7.4111837036651114E-5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4.3463662523016371E-8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4.3463662523016371E-8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4.345921610249529E-8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4.345921610249529E-8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4.3463662446660811E-8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4.3463662446660811E-8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9.4604672409416271E-9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1.0580096758225705E-8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4.3463662523016371E-8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1.070151530124346E-7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5.5751310529365929E-5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6.668031100963259E-5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6.668031100963259E-5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6.668031100963259E-5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7.4111470710769281E-5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867.66419960812368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56.89360558844605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19338.344792833683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1268.0345251927781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1770.6996359991799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116.10653839543197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1464.8658491881436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35756.159633002891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118662.26038368967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2024-08-16T12:12:45Z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