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.sharepoint.com/sites/SimpleBox-Development/Gedeelde documenten/Development/SimpleBox_conventional/"/>
    </mc:Choice>
  </mc:AlternateContent>
  <xr:revisionPtr revIDLastSave="1" documentId="8_{E8AFE5A9-18A6-4D25-9F7A-A2AD639C7EDA}" xr6:coauthVersionLast="47" xr6:coauthVersionMax="47" xr10:uidLastSave="{886CC448-C9B7-49F8-98F9-B408AECB8D83}"/>
  <bookViews>
    <workbookView xWindow="-5610" yWindow="-21720" windowWidth="38640" windowHeight="212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B881" i="22"/>
  <c r="L203" i="8"/>
  <c r="K60" i="7" l="1"/>
  <c r="L60" i="7" s="1"/>
  <c r="K58" i="7" s="1"/>
  <c r="L58" i="7" s="1"/>
  <c r="P12" i="11" s="1"/>
  <c r="K50" i="6"/>
  <c r="L50" i="6" s="1"/>
  <c r="F12" i="11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80" i="22" s="1"/>
  <c r="B506" i="22"/>
  <c r="B885" i="22"/>
  <c r="L52" i="6"/>
  <c r="L306" i="8"/>
  <c r="K169" i="8"/>
  <c r="B408" i="22"/>
  <c r="K61" i="7" l="1"/>
  <c r="L61" i="7" s="1"/>
  <c r="B516" i="22"/>
  <c r="B872" i="22"/>
  <c r="K51" i="6"/>
  <c r="L51" i="6" s="1"/>
  <c r="G21" i="1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J14" i="3"/>
  <c r="L14" i="3"/>
  <c r="J35" i="3"/>
  <c r="L35" i="3"/>
  <c r="J37" i="3"/>
  <c r="L37" i="3"/>
  <c r="K42" i="3"/>
  <c r="K19" i="3"/>
  <c r="L19" i="3"/>
  <c r="J39" i="3"/>
  <c r="L39" i="3"/>
  <c r="K36" i="3"/>
  <c r="L36" i="3"/>
  <c r="K63" i="6"/>
  <c r="L63" i="6"/>
  <c r="K25" i="3"/>
  <c r="L25" i="3"/>
  <c r="J66" i="6"/>
  <c r="J17" i="3"/>
  <c r="J20" i="3"/>
  <c r="L20" i="3"/>
  <c r="I42" i="3"/>
  <c r="K17" i="3"/>
  <c r="L17" i="3"/>
  <c r="J42" i="3"/>
  <c r="K18" i="3"/>
  <c r="L18" i="3"/>
  <c r="K67" i="6"/>
  <c r="L67" i="6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K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K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D45" i="11" a="1"/>
  <c r="E45" i="11"/>
  <c r="E55" i="11"/>
  <c r="F45" i="11"/>
  <c r="F55" i="11"/>
  <c r="G45" i="11"/>
  <c r="G55" i="11"/>
  <c r="H45" i="11"/>
  <c r="H55" i="11"/>
  <c r="I45" i="11"/>
  <c r="I55" i="11"/>
  <c r="J45" i="11"/>
  <c r="J55" i="11"/>
  <c r="K45" i="11"/>
  <c r="K55" i="11"/>
  <c r="L45" i="11"/>
  <c r="L55" i="11"/>
  <c r="M45" i="11"/>
  <c r="M55" i="11"/>
  <c r="N45" i="11"/>
  <c r="N55" i="11"/>
  <c r="O45" i="11"/>
  <c r="O55" i="11"/>
  <c r="P45" i="11"/>
  <c r="P55" i="11"/>
  <c r="Q45" i="11"/>
  <c r="Q55" i="11"/>
  <c r="R45" i="11"/>
  <c r="R55" i="11"/>
  <c r="S45" i="11"/>
  <c r="S55" i="11"/>
  <c r="T45" i="11"/>
  <c r="T55" i="11"/>
  <c r="U45" i="11"/>
  <c r="U55" i="11"/>
  <c r="V45" i="11"/>
  <c r="V55" i="11"/>
  <c r="W45" i="11"/>
  <c r="W55" i="11"/>
  <c r="X45" i="11"/>
  <c r="X55" i="11"/>
  <c r="Y45" i="11"/>
  <c r="Y55" i="11"/>
  <c r="Z45" i="11"/>
  <c r="Z55" i="11"/>
  <c r="AA45" i="11"/>
  <c r="AA55" i="11"/>
  <c r="AB45" i="11"/>
  <c r="AB55" i="11"/>
  <c r="AC45" i="11"/>
  <c r="AC55" i="11"/>
  <c r="AD45" i="11"/>
  <c r="AD55" i="11"/>
  <c r="AE45" i="11"/>
  <c r="AE55" i="11"/>
  <c r="AF45" i="11"/>
  <c r="AF55" i="11"/>
  <c r="AG45" i="11"/>
  <c r="AG55" i="11"/>
  <c r="AH45" i="11"/>
  <c r="AH55" i="11"/>
  <c r="AI45" i="11"/>
  <c r="AI55" i="11"/>
  <c r="AJ45" i="11"/>
  <c r="AJ55" i="11"/>
  <c r="D4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55" i="11"/>
  <c r="D92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56" i="11"/>
  <c r="E92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57" i="11"/>
  <c r="F92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58" i="11"/>
  <c r="G92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59" i="11"/>
  <c r="H92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60" i="11"/>
  <c r="I92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61" i="11"/>
  <c r="J9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62" i="11"/>
  <c r="K92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63" i="11"/>
  <c r="L92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64" i="11"/>
  <c r="M92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65" i="11"/>
  <c r="N92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66" i="11"/>
  <c r="O92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67" i="11"/>
  <c r="P92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68" i="11"/>
  <c r="Q92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69" i="11"/>
  <c r="R92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70" i="11"/>
  <c r="S92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71" i="11"/>
  <c r="T9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72" i="11"/>
  <c r="U92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73" i="11"/>
  <c r="V92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74" i="11"/>
  <c r="W92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75" i="11"/>
  <c r="X92" i="11"/>
  <c r="Z76" i="11"/>
  <c r="AA76" i="11"/>
  <c r="AB76" i="11"/>
  <c r="AC76" i="11"/>
  <c r="AD76" i="11"/>
  <c r="AE76" i="11"/>
  <c r="AF76" i="11"/>
  <c r="AG76" i="11"/>
  <c r="AH76" i="11"/>
  <c r="AI76" i="11"/>
  <c r="AJ76" i="11"/>
  <c r="Y77" i="11"/>
  <c r="Y78" i="11"/>
  <c r="Y79" i="11"/>
  <c r="Y80" i="11"/>
  <c r="Y81" i="11"/>
  <c r="Y82" i="11"/>
  <c r="Y83" i="11"/>
  <c r="Y84" i="11"/>
  <c r="Y85" i="11"/>
  <c r="Y86" i="11"/>
  <c r="Y87" i="11"/>
  <c r="Y76" i="11"/>
  <c r="Y92" i="11"/>
  <c r="AA77" i="11"/>
  <c r="AB77" i="11"/>
  <c r="AC77" i="11"/>
  <c r="AD77" i="11"/>
  <c r="AE77" i="11"/>
  <c r="AF77" i="11"/>
  <c r="AG77" i="11"/>
  <c r="AH77" i="11"/>
  <c r="AI77" i="11"/>
  <c r="AJ77" i="11"/>
  <c r="Z78" i="11"/>
  <c r="Z79" i="11"/>
  <c r="Z80" i="11"/>
  <c r="Z81" i="11"/>
  <c r="Z82" i="11"/>
  <c r="Z83" i="11"/>
  <c r="Z84" i="11"/>
  <c r="Z85" i="11"/>
  <c r="Z86" i="11"/>
  <c r="Z87" i="11"/>
  <c r="Z77" i="11"/>
  <c r="Z92" i="11"/>
  <c r="AB78" i="11"/>
  <c r="AC78" i="11"/>
  <c r="AD78" i="11"/>
  <c r="AE78" i="11"/>
  <c r="AF78" i="11"/>
  <c r="AG78" i="11"/>
  <c r="AH78" i="11"/>
  <c r="AI78" i="11"/>
  <c r="AJ78" i="11"/>
  <c r="AA79" i="11"/>
  <c r="AA80" i="11"/>
  <c r="AA81" i="11"/>
  <c r="AA82" i="11"/>
  <c r="AA83" i="11"/>
  <c r="AA84" i="11"/>
  <c r="AA85" i="11"/>
  <c r="AA86" i="11"/>
  <c r="AA87" i="11"/>
  <c r="AA78" i="11"/>
  <c r="AA92" i="11"/>
  <c r="AC79" i="11"/>
  <c r="AD79" i="11"/>
  <c r="AE79" i="11"/>
  <c r="AF79" i="11"/>
  <c r="AG79" i="11"/>
  <c r="AH79" i="11"/>
  <c r="AI79" i="11"/>
  <c r="AJ79" i="11"/>
  <c r="AB80" i="11"/>
  <c r="AB81" i="11"/>
  <c r="AB82" i="11"/>
  <c r="AB83" i="11"/>
  <c r="AB84" i="11"/>
  <c r="AB85" i="11"/>
  <c r="AB86" i="11"/>
  <c r="AB87" i="11"/>
  <c r="AB79" i="11"/>
  <c r="AB92" i="11"/>
  <c r="AD80" i="11"/>
  <c r="AE80" i="11"/>
  <c r="AF80" i="11"/>
  <c r="AG80" i="11"/>
  <c r="AH80" i="11"/>
  <c r="AI80" i="11"/>
  <c r="AJ80" i="11"/>
  <c r="AC81" i="11"/>
  <c r="AC82" i="11"/>
  <c r="AC83" i="11"/>
  <c r="AC84" i="11"/>
  <c r="AC85" i="11"/>
  <c r="AC86" i="11"/>
  <c r="AC87" i="11"/>
  <c r="AC80" i="11"/>
  <c r="AC92" i="11"/>
  <c r="AE81" i="11"/>
  <c r="AF81" i="11"/>
  <c r="AG81" i="11"/>
  <c r="AH81" i="11"/>
  <c r="AI81" i="11"/>
  <c r="AJ81" i="11"/>
  <c r="AD82" i="11"/>
  <c r="AD83" i="11"/>
  <c r="AD84" i="11"/>
  <c r="AD85" i="11"/>
  <c r="AD86" i="11"/>
  <c r="AD87" i="11"/>
  <c r="AD81" i="11"/>
  <c r="AD92" i="11"/>
  <c r="AF82" i="11"/>
  <c r="AG82" i="11"/>
  <c r="AH82" i="11"/>
  <c r="AI82" i="11"/>
  <c r="AJ82" i="11"/>
  <c r="AE83" i="11"/>
  <c r="AE84" i="11"/>
  <c r="AE85" i="11"/>
  <c r="AE86" i="11"/>
  <c r="AE87" i="11"/>
  <c r="AE82" i="11"/>
  <c r="AE92" i="11"/>
  <c r="AG83" i="11"/>
  <c r="AH83" i="11"/>
  <c r="AI83" i="11"/>
  <c r="AJ83" i="11"/>
  <c r="AF84" i="11"/>
  <c r="AF85" i="11"/>
  <c r="AF86" i="11"/>
  <c r="AF87" i="11"/>
  <c r="AF83" i="11"/>
  <c r="AF92" i="11"/>
  <c r="AH84" i="11"/>
  <c r="AI84" i="11"/>
  <c r="AJ84" i="11"/>
  <c r="AG85" i="11"/>
  <c r="AG86" i="11"/>
  <c r="AG87" i="11"/>
  <c r="AG84" i="11"/>
  <c r="AG92" i="11"/>
  <c r="AI85" i="11"/>
  <c r="AJ85" i="11"/>
  <c r="AH86" i="11"/>
  <c r="AH87" i="11"/>
  <c r="AH85" i="11"/>
  <c r="AH92" i="11"/>
  <c r="AJ86" i="11"/>
  <c r="AI87" i="11"/>
  <c r="AI86" i="11"/>
  <c r="AI92" i="11"/>
  <c r="AJ87" i="11"/>
  <c r="AJ92" i="11"/>
  <c r="C92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C93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C94" i="11"/>
  <c r="C95" i="11"/>
  <c r="AC12" i="23"/>
  <c r="AD12" i="23"/>
  <c r="AI13" i="23"/>
  <c r="AI14" i="23"/>
  <c r="AI15" i="23"/>
  <c r="AI12" i="23"/>
  <c r="AK18" i="23"/>
  <c r="AK19" i="23"/>
  <c r="AK20" i="23"/>
  <c r="AK12" i="23"/>
  <c r="AE12" i="23"/>
  <c r="AF12" i="23"/>
  <c r="AG12" i="23"/>
  <c r="AH13" i="23"/>
  <c r="AH14" i="23"/>
  <c r="AH15" i="23"/>
  <c r="AH12" i="23"/>
  <c r="AJ18" i="23"/>
  <c r="AJ19" i="23"/>
  <c r="AJ20" i="23"/>
  <c r="AJ12" i="23"/>
  <c r="AO12" i="23"/>
  <c r="L81" i="3"/>
  <c r="AC13" i="23"/>
  <c r="AD13" i="23"/>
  <c r="AL18" i="23"/>
  <c r="AL19" i="23"/>
  <c r="AL20" i="23"/>
  <c r="AL13" i="23"/>
  <c r="AE13" i="23"/>
  <c r="AG13" i="23"/>
  <c r="AO13" i="23"/>
  <c r="AC14" i="23"/>
  <c r="E50" i="11"/>
  <c r="O50" i="11"/>
  <c r="AD14" i="23"/>
  <c r="AL14" i="23"/>
  <c r="AN14" i="23"/>
  <c r="F50" i="11"/>
  <c r="AE14" i="23"/>
  <c r="AG14" i="23"/>
  <c r="AM14" i="23"/>
  <c r="AO14" i="23"/>
  <c r="AC15" i="23"/>
  <c r="AD15" i="23"/>
  <c r="AN15" i="23"/>
  <c r="AE15" i="23"/>
  <c r="AG15" i="23"/>
  <c r="AM15" i="23"/>
  <c r="AO15" i="23"/>
  <c r="AM16" i="23"/>
  <c r="H50" i="11"/>
  <c r="AF16" i="23"/>
  <c r="AG16" i="23"/>
  <c r="AN16" i="23"/>
  <c r="AO16" i="23"/>
  <c r="AM17" i="23"/>
  <c r="I50" i="11"/>
  <c r="AF17" i="23"/>
  <c r="AG17" i="23"/>
  <c r="AN17" i="23"/>
  <c r="AO17" i="23"/>
  <c r="AC18" i="23"/>
  <c r="J50" i="11"/>
  <c r="AF18" i="23"/>
  <c r="AG18" i="23"/>
  <c r="AO18" i="23"/>
  <c r="AC19" i="23"/>
  <c r="K50" i="11"/>
  <c r="AF19" i="23"/>
  <c r="AG19" i="23"/>
  <c r="AO19" i="23"/>
  <c r="AC20" i="23"/>
  <c r="L50" i="11"/>
  <c r="AF20" i="23"/>
  <c r="AG20" i="23"/>
  <c r="AO20" i="23"/>
  <c r="AC22" i="23"/>
  <c r="AD22" i="23"/>
  <c r="AI23" i="23"/>
  <c r="AI24" i="23"/>
  <c r="AI25" i="23"/>
  <c r="AI22" i="23"/>
  <c r="AK28" i="23"/>
  <c r="AK29" i="23"/>
  <c r="AK30" i="23"/>
  <c r="AK22" i="23"/>
  <c r="AE22" i="23"/>
  <c r="AF22" i="23"/>
  <c r="AG22" i="23"/>
  <c r="AH23" i="23"/>
  <c r="AH24" i="23"/>
  <c r="AH25" i="23"/>
  <c r="AH22" i="23"/>
  <c r="AJ28" i="23"/>
  <c r="AJ29" i="23"/>
  <c r="AJ30" i="23"/>
  <c r="AJ22" i="23"/>
  <c r="AO22" i="23"/>
  <c r="L89" i="3"/>
  <c r="AC23" i="23"/>
  <c r="AD23" i="23"/>
  <c r="AL28" i="23"/>
  <c r="AL29" i="23"/>
  <c r="AL30" i="23"/>
  <c r="AL23" i="23"/>
  <c r="AE23" i="23"/>
  <c r="AG23" i="23"/>
  <c r="AO23" i="23"/>
  <c r="AC24" i="23"/>
  <c r="AD24" i="23"/>
  <c r="AL24" i="23"/>
  <c r="AN24" i="23"/>
  <c r="AE24" i="23"/>
  <c r="AG24" i="23"/>
  <c r="AM24" i="23"/>
  <c r="AO24" i="23"/>
  <c r="AC25" i="23"/>
  <c r="AD25" i="23"/>
  <c r="AN25" i="23"/>
  <c r="AE25" i="23"/>
  <c r="AG25" i="23"/>
  <c r="AM25" i="23"/>
  <c r="AO25" i="23"/>
  <c r="AM26" i="23"/>
  <c r="Q50" i="11"/>
  <c r="AF26" i="23"/>
  <c r="AG26" i="23"/>
  <c r="AN26" i="23"/>
  <c r="AO26" i="23"/>
  <c r="AM27" i="23"/>
  <c r="R50" i="11"/>
  <c r="AF27" i="23"/>
  <c r="AG27" i="23"/>
  <c r="AN27" i="23"/>
  <c r="AO27" i="23"/>
  <c r="AC28" i="23"/>
  <c r="S50" i="11"/>
  <c r="AF28" i="23"/>
  <c r="AG28" i="23"/>
  <c r="AO28" i="23"/>
  <c r="AC29" i="23"/>
  <c r="T50" i="11"/>
  <c r="AF29" i="23"/>
  <c r="AG29" i="23"/>
  <c r="AO29" i="23"/>
  <c r="AC30" i="23"/>
  <c r="U50" i="11"/>
  <c r="AF30" i="23"/>
  <c r="AG30" i="23"/>
  <c r="AO30" i="23"/>
  <c r="AC32" i="23"/>
  <c r="AD32" i="23"/>
  <c r="AI33" i="23"/>
  <c r="AI32" i="23"/>
  <c r="AK36" i="23"/>
  <c r="AK32" i="23"/>
  <c r="AE32" i="23"/>
  <c r="AF32" i="23"/>
  <c r="AG32" i="23"/>
  <c r="AH33" i="23"/>
  <c r="AH32" i="23"/>
  <c r="AJ36" i="23"/>
  <c r="AJ32" i="23"/>
  <c r="AO32" i="23"/>
  <c r="AC33" i="23"/>
  <c r="AD33" i="23"/>
  <c r="AL36" i="23"/>
  <c r="AL33" i="23"/>
  <c r="AE33" i="23"/>
  <c r="AG33" i="23"/>
  <c r="AO33" i="23"/>
  <c r="AD34" i="23"/>
  <c r="AN34" i="23"/>
  <c r="AE34" i="23"/>
  <c r="AG34" i="23"/>
  <c r="AM34" i="23"/>
  <c r="AO34" i="23"/>
  <c r="AM35" i="23"/>
  <c r="Y50" i="11"/>
  <c r="AF35" i="23"/>
  <c r="AG35" i="23"/>
  <c r="AN35" i="23"/>
  <c r="AO35" i="23"/>
  <c r="AC36" i="23"/>
  <c r="Z50" i="11"/>
  <c r="AF36" i="23"/>
  <c r="AG36" i="23"/>
  <c r="AO36" i="23"/>
  <c r="AC38" i="23"/>
  <c r="AD38" i="23"/>
  <c r="AI39" i="23"/>
  <c r="AI38" i="23"/>
  <c r="AK42" i="23"/>
  <c r="AK38" i="23"/>
  <c r="AE38" i="23"/>
  <c r="AF38" i="23"/>
  <c r="AG38" i="23"/>
  <c r="AH39" i="23"/>
  <c r="AH38" i="23"/>
  <c r="AJ42" i="23"/>
  <c r="AJ38" i="23"/>
  <c r="AO38" i="23"/>
  <c r="AC39" i="23"/>
  <c r="AD39" i="23"/>
  <c r="AL42" i="23"/>
  <c r="AL39" i="23"/>
  <c r="AE39" i="23"/>
  <c r="AG39" i="23"/>
  <c r="AO39" i="23"/>
  <c r="AD40" i="23"/>
  <c r="AN40" i="23"/>
  <c r="AE40" i="23"/>
  <c r="AG40" i="23"/>
  <c r="AM40" i="23"/>
  <c r="AO40" i="23"/>
  <c r="AM41" i="23"/>
  <c r="AD50" i="11"/>
  <c r="AF41" i="23"/>
  <c r="AG41" i="23"/>
  <c r="AN41" i="23"/>
  <c r="AO41" i="23"/>
  <c r="AC42" i="23"/>
  <c r="AE50" i="11"/>
  <c r="AF42" i="23"/>
  <c r="AG42" i="23"/>
  <c r="AO42" i="23"/>
  <c r="AC44" i="23"/>
  <c r="AD44" i="23"/>
  <c r="AI45" i="23"/>
  <c r="AI44" i="23"/>
  <c r="AK48" i="23"/>
  <c r="AK44" i="23"/>
  <c r="AE44" i="23"/>
  <c r="AF44" i="23"/>
  <c r="AG44" i="23"/>
  <c r="AH45" i="23"/>
  <c r="AH44" i="23"/>
  <c r="AJ48" i="23"/>
  <c r="AJ44" i="23"/>
  <c r="AO44" i="23"/>
  <c r="AC45" i="23"/>
  <c r="AD45" i="23"/>
  <c r="AL48" i="23"/>
  <c r="AL45" i="23"/>
  <c r="AE45" i="23"/>
  <c r="AG45" i="23"/>
  <c r="AO45" i="23"/>
  <c r="AD46" i="23"/>
  <c r="AN46" i="23"/>
  <c r="AE46" i="23"/>
  <c r="AG46" i="23"/>
  <c r="AM46" i="23"/>
  <c r="AO46" i="23"/>
  <c r="AM47" i="23"/>
  <c r="AI50" i="11"/>
  <c r="AF47" i="23"/>
  <c r="AG47" i="23"/>
  <c r="AN47" i="23"/>
  <c r="AO47" i="23"/>
  <c r="AC48" i="23"/>
  <c r="AJ50" i="11"/>
  <c r="AF48" i="23"/>
  <c r="AG48" i="23"/>
  <c r="AO48" i="23"/>
  <c r="AO49" i="23"/>
  <c r="G35" i="23"/>
  <c r="G36" i="23"/>
  <c r="G11" i="23"/>
  <c r="G27" i="23"/>
  <c r="G31" i="23"/>
  <c r="G47" i="23"/>
  <c r="G51" i="23"/>
  <c r="H36" i="23"/>
  <c r="E27" i="23"/>
  <c r="E28" i="23"/>
  <c r="E11" i="23"/>
  <c r="E15" i="23"/>
  <c r="E19" i="23"/>
  <c r="E23" i="23"/>
  <c r="E35" i="23"/>
  <c r="E39" i="23"/>
  <c r="E43" i="23"/>
  <c r="E47" i="23"/>
  <c r="E51" i="23"/>
  <c r="F28" i="23"/>
  <c r="C19" i="23"/>
  <c r="C11" i="23"/>
  <c r="C15" i="23"/>
  <c r="C23" i="23"/>
  <c r="C27" i="23"/>
  <c r="C35" i="23"/>
  <c r="C39" i="23"/>
  <c r="C43" i="23"/>
  <c r="C47" i="23"/>
  <c r="C51" i="23"/>
  <c r="D19" i="23"/>
  <c r="AY30" i="23"/>
  <c r="I47" i="23"/>
  <c r="K205" i="8"/>
  <c r="L205" i="8"/>
  <c r="I48" i="23"/>
  <c r="I11" i="23"/>
  <c r="I27" i="23"/>
  <c r="I31" i="23"/>
  <c r="I35" i="23"/>
  <c r="I51" i="23"/>
  <c r="J48" i="23"/>
  <c r="K35" i="23"/>
  <c r="K37" i="23"/>
  <c r="K11" i="23"/>
  <c r="K27" i="23"/>
  <c r="K31" i="23"/>
  <c r="K47" i="23"/>
  <c r="K51" i="23"/>
  <c r="L37" i="23"/>
  <c r="AS92" i="23"/>
  <c r="K29" i="23"/>
  <c r="L29" i="23"/>
  <c r="AG50" i="11"/>
  <c r="AG51" i="11"/>
  <c r="W27" i="23"/>
  <c r="W29" i="23"/>
  <c r="W28" i="23"/>
  <c r="AH95" i="11"/>
  <c r="J51" i="23"/>
  <c r="J11" i="23"/>
  <c r="BB142" i="23"/>
  <c r="K70" i="8"/>
  <c r="L70" i="8"/>
  <c r="G49" i="23"/>
  <c r="H49" i="23"/>
  <c r="U51" i="11"/>
  <c r="T47" i="23"/>
  <c r="T48" i="23"/>
  <c r="T49" i="23"/>
  <c r="K342" i="8"/>
  <c r="L342" i="8"/>
  <c r="K49" i="23"/>
  <c r="L49" i="23"/>
  <c r="D51" i="23"/>
  <c r="D23" i="23"/>
  <c r="AY37" i="23"/>
  <c r="F19" i="23"/>
  <c r="AY94" i="23"/>
  <c r="M95" i="11"/>
  <c r="AC95" i="11"/>
  <c r="C17" i="23"/>
  <c r="D17" i="23"/>
  <c r="F15" i="23"/>
  <c r="BB91" i="23"/>
  <c r="I32" i="23"/>
  <c r="J32" i="23"/>
  <c r="I28" i="23"/>
  <c r="J28" i="23"/>
  <c r="K108" i="7"/>
  <c r="L108" i="7"/>
  <c r="E49" i="23"/>
  <c r="F49" i="23"/>
  <c r="C24" i="23"/>
  <c r="D24" i="23"/>
  <c r="V50" i="11"/>
  <c r="V51" i="11"/>
  <c r="U11" i="23"/>
  <c r="U13" i="23"/>
  <c r="W50" i="11"/>
  <c r="W51" i="11"/>
  <c r="U27" i="23"/>
  <c r="Y51" i="11"/>
  <c r="U35" i="23"/>
  <c r="Z51" i="11"/>
  <c r="U47" i="23"/>
  <c r="U51" i="23"/>
  <c r="U12" i="23"/>
  <c r="E13" i="23"/>
  <c r="F13" i="23"/>
  <c r="Q51" i="11"/>
  <c r="T23" i="23"/>
  <c r="T24" i="23"/>
  <c r="T25" i="23"/>
  <c r="C12" i="23"/>
  <c r="D12" i="23"/>
  <c r="AY87" i="23"/>
  <c r="AX85" i="23"/>
  <c r="S95" i="11"/>
  <c r="G32" i="23"/>
  <c r="H32" i="23"/>
  <c r="C25" i="23"/>
  <c r="D25" i="23"/>
  <c r="E20" i="23"/>
  <c r="F20" i="23"/>
  <c r="E12" i="23"/>
  <c r="F12" i="23"/>
  <c r="E36" i="23"/>
  <c r="F36" i="23"/>
  <c r="C16" i="23"/>
  <c r="D16" i="23"/>
  <c r="K102" i="7"/>
  <c r="L102" i="7"/>
  <c r="E44" i="23"/>
  <c r="F44" i="23"/>
  <c r="F27" i="23"/>
  <c r="AV101" i="23"/>
  <c r="AA95" i="11"/>
  <c r="E29" i="23"/>
  <c r="F29" i="23"/>
  <c r="C36" i="23"/>
  <c r="D36" i="23"/>
  <c r="I37" i="23"/>
  <c r="J37" i="23"/>
  <c r="K33" i="23"/>
  <c r="L33" i="23"/>
  <c r="AG95" i="11"/>
  <c r="P50" i="11"/>
  <c r="P51" i="11"/>
  <c r="T27" i="23"/>
  <c r="T28" i="23"/>
  <c r="T29" i="23"/>
  <c r="G13" i="23"/>
  <c r="H13" i="23"/>
  <c r="L51" i="11"/>
  <c r="S47" i="23"/>
  <c r="S49" i="23"/>
  <c r="S48" i="23"/>
  <c r="U28" i="23"/>
  <c r="U29" i="23"/>
  <c r="E24" i="23"/>
  <c r="F24" i="23"/>
  <c r="H51" i="23"/>
  <c r="H11" i="23"/>
  <c r="AV142" i="23"/>
  <c r="K98" i="7"/>
  <c r="L98" i="7"/>
  <c r="E41" i="23"/>
  <c r="F41" i="23"/>
  <c r="AJ51" i="11"/>
  <c r="W47" i="23"/>
  <c r="W49" i="23"/>
  <c r="W48" i="23"/>
  <c r="N50" i="11"/>
  <c r="N51" i="11"/>
  <c r="T15" i="23"/>
  <c r="T17" i="23"/>
  <c r="T16" i="23"/>
  <c r="AA50" i="11"/>
  <c r="AA51" i="11"/>
  <c r="V11" i="23"/>
  <c r="AB50" i="11"/>
  <c r="AB51" i="11"/>
  <c r="V27" i="23"/>
  <c r="AD51" i="11"/>
  <c r="V35" i="23"/>
  <c r="AE51" i="11"/>
  <c r="V47" i="23"/>
  <c r="V51" i="23"/>
  <c r="V13" i="23"/>
  <c r="V12" i="23"/>
  <c r="N19" i="23"/>
  <c r="N20" i="23"/>
  <c r="N21" i="23"/>
  <c r="AZ118" i="23"/>
  <c r="N15" i="23"/>
  <c r="N16" i="23"/>
  <c r="N17" i="23"/>
  <c r="AZ117" i="23"/>
  <c r="J51" i="11"/>
  <c r="S39" i="23"/>
  <c r="S41" i="23"/>
  <c r="S40" i="23"/>
  <c r="AS93" i="23"/>
  <c r="M50" i="11"/>
  <c r="M51" i="11"/>
  <c r="T11" i="23"/>
  <c r="T12" i="23"/>
  <c r="T13" i="23"/>
  <c r="O51" i="11"/>
  <c r="T19" i="23"/>
  <c r="R51" i="11"/>
  <c r="T35" i="23"/>
  <c r="S51" i="11"/>
  <c r="T39" i="23"/>
  <c r="T51" i="11"/>
  <c r="T43" i="23"/>
  <c r="T51" i="23"/>
  <c r="K12" i="23"/>
  <c r="L12" i="23"/>
  <c r="E17" i="23"/>
  <c r="F17" i="23"/>
  <c r="K51" i="11"/>
  <c r="S43" i="23"/>
  <c r="S44" i="23"/>
  <c r="S45" i="23"/>
  <c r="G29" i="23"/>
  <c r="H29" i="23"/>
  <c r="X50" i="11"/>
  <c r="X51" i="11"/>
  <c r="U31" i="23"/>
  <c r="U33" i="23"/>
  <c r="U32" i="23"/>
  <c r="G50" i="11"/>
  <c r="G51" i="11"/>
  <c r="S27" i="23"/>
  <c r="S29" i="23"/>
  <c r="S28" i="23"/>
  <c r="K97" i="7"/>
  <c r="L97" i="7"/>
  <c r="E40" i="23"/>
  <c r="F40" i="23"/>
  <c r="M27" i="23"/>
  <c r="AZ54" i="23"/>
  <c r="M28" i="23"/>
  <c r="M29" i="23"/>
  <c r="N95" i="11"/>
  <c r="I95" i="11"/>
  <c r="D15" i="23"/>
  <c r="BB27" i="23"/>
  <c r="Z95" i="11"/>
  <c r="AF95" i="11"/>
  <c r="C37" i="23"/>
  <c r="D37" i="23"/>
  <c r="I33" i="23"/>
  <c r="J33" i="23"/>
  <c r="E25" i="23"/>
  <c r="F25" i="23"/>
  <c r="N27" i="23"/>
  <c r="AZ119" i="23"/>
  <c r="N28" i="23"/>
  <c r="N29" i="23"/>
  <c r="U37" i="23"/>
  <c r="U36" i="23"/>
  <c r="E16" i="23"/>
  <c r="F16" i="23"/>
  <c r="F51" i="23"/>
  <c r="F11" i="23"/>
  <c r="AY75" i="23"/>
  <c r="I12" i="23"/>
  <c r="J12" i="23"/>
  <c r="E21" i="23"/>
  <c r="F21" i="23"/>
  <c r="AF50" i="11"/>
  <c r="AF51" i="11"/>
  <c r="W11" i="23"/>
  <c r="W13" i="23"/>
  <c r="W12" i="23"/>
  <c r="AI51" i="11"/>
  <c r="W35" i="23"/>
  <c r="W51" i="23"/>
  <c r="K102" i="6"/>
  <c r="L102" i="6"/>
  <c r="C49" i="23"/>
  <c r="D49" i="23"/>
  <c r="D50" i="11"/>
  <c r="M11" i="23"/>
  <c r="AZ51" i="23"/>
  <c r="AD95" i="11"/>
  <c r="H51" i="11"/>
  <c r="S23" i="23"/>
  <c r="S25" i="23"/>
  <c r="S24" i="23"/>
  <c r="AB95" i="11"/>
  <c r="AS28" i="23"/>
  <c r="C13" i="23"/>
  <c r="D13" i="23"/>
  <c r="D27" i="23"/>
  <c r="AV37" i="23"/>
  <c r="I36" i="23"/>
  <c r="J36" i="23"/>
  <c r="AT138" i="23"/>
  <c r="K28" i="23"/>
  <c r="L28" i="23"/>
  <c r="T21" i="23"/>
  <c r="T20" i="23"/>
  <c r="V37" i="23"/>
  <c r="V36" i="23"/>
  <c r="L51" i="23"/>
  <c r="L11" i="23"/>
  <c r="BH142" i="23"/>
  <c r="G33" i="23"/>
  <c r="H33" i="23"/>
  <c r="K13" i="23"/>
  <c r="L13" i="23"/>
  <c r="C21" i="23"/>
  <c r="D21" i="23"/>
  <c r="G37" i="23"/>
  <c r="H37" i="23"/>
  <c r="W36" i="23"/>
  <c r="W37" i="23"/>
  <c r="K36" i="23"/>
  <c r="L36" i="23"/>
  <c r="V48" i="23"/>
  <c r="V49" i="23"/>
  <c r="N11" i="23"/>
  <c r="AZ116" i="23"/>
  <c r="K103" i="7"/>
  <c r="L103" i="7"/>
  <c r="E45" i="23"/>
  <c r="F45" i="23"/>
  <c r="Y95" i="11"/>
  <c r="K96" i="6"/>
  <c r="L96" i="6"/>
  <c r="C44" i="23"/>
  <c r="D44" i="23"/>
  <c r="K91" i="6"/>
  <c r="L91" i="6"/>
  <c r="C40" i="23"/>
  <c r="D40" i="23"/>
  <c r="K92" i="6"/>
  <c r="L92" i="6"/>
  <c r="C41" i="23"/>
  <c r="D41" i="23"/>
  <c r="K97" i="6"/>
  <c r="L97" i="6"/>
  <c r="C45" i="23"/>
  <c r="D45" i="23"/>
  <c r="E37" i="23"/>
  <c r="F37" i="23"/>
  <c r="AC50" i="11"/>
  <c r="AC51" i="11"/>
  <c r="V31" i="23"/>
  <c r="V32" i="23"/>
  <c r="V33" i="23"/>
  <c r="I51" i="11"/>
  <c r="S35" i="23"/>
  <c r="S36" i="23"/>
  <c r="S37" i="23"/>
  <c r="AH50" i="11"/>
  <c r="AH51" i="11"/>
  <c r="W31" i="23"/>
  <c r="W32" i="23"/>
  <c r="W33" i="23"/>
  <c r="D51" i="11"/>
  <c r="S11" i="23"/>
  <c r="S13" i="23"/>
  <c r="E51" i="11"/>
  <c r="S15" i="23"/>
  <c r="F51" i="11"/>
  <c r="S19" i="23"/>
  <c r="S51" i="23"/>
  <c r="S12" i="23"/>
  <c r="I13" i="23"/>
  <c r="J13" i="23"/>
  <c r="T40" i="23"/>
  <c r="T41" i="23"/>
  <c r="G12" i="23"/>
  <c r="H12" i="23"/>
  <c r="M19" i="23"/>
  <c r="M20" i="23"/>
  <c r="M21" i="23"/>
  <c r="AZ53" i="23"/>
  <c r="AX25" i="23"/>
  <c r="T37" i="23"/>
  <c r="T36" i="23"/>
  <c r="S16" i="23"/>
  <c r="S17" i="23"/>
  <c r="K341" i="8"/>
  <c r="L341" i="8"/>
  <c r="K48" i="23"/>
  <c r="L48" i="23"/>
  <c r="U48" i="23"/>
  <c r="U49" i="23"/>
  <c r="S20" i="23"/>
  <c r="S21" i="23"/>
  <c r="M15" i="23"/>
  <c r="M16" i="23"/>
  <c r="M17" i="23"/>
  <c r="AZ52" i="23"/>
  <c r="C20" i="23"/>
  <c r="D20" i="23"/>
  <c r="V29" i="23"/>
  <c r="V28" i="23"/>
  <c r="K69" i="8"/>
  <c r="L69" i="8"/>
  <c r="G48" i="23"/>
  <c r="H48" i="23"/>
  <c r="T44" i="23"/>
  <c r="T45" i="23"/>
  <c r="F95" i="11"/>
  <c r="G28" i="23"/>
  <c r="H28" i="23"/>
  <c r="T95" i="11"/>
  <c r="K101" i="6"/>
  <c r="L101" i="6"/>
  <c r="C48" i="23"/>
  <c r="D48" i="23"/>
  <c r="C28" i="23"/>
  <c r="D28" i="23"/>
  <c r="K206" i="8"/>
  <c r="L206" i="8"/>
  <c r="I49" i="23"/>
  <c r="J49" i="23"/>
  <c r="K32" i="23"/>
  <c r="L32" i="23"/>
  <c r="I29" i="23"/>
  <c r="J29" i="23"/>
  <c r="K49" i="11"/>
  <c r="K46" i="11"/>
  <c r="K48" i="11"/>
  <c r="AJ95" i="11"/>
  <c r="BD86" i="23"/>
  <c r="AZ157" i="23"/>
  <c r="AU147" i="23"/>
  <c r="AX146" i="23"/>
  <c r="B571" i="22"/>
  <c r="AZ161" i="23"/>
  <c r="BB87" i="23"/>
  <c r="U95" i="11"/>
  <c r="D49" i="11"/>
  <c r="E49" i="11"/>
  <c r="F49" i="11"/>
  <c r="G49" i="11"/>
  <c r="H49" i="11"/>
  <c r="I49" i="11"/>
  <c r="J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C49" i="11"/>
  <c r="D48" i="11"/>
  <c r="E48" i="11"/>
  <c r="C48" i="11"/>
  <c r="F39" i="23"/>
  <c r="BD96" i="23"/>
  <c r="W46" i="11"/>
  <c r="W48" i="11"/>
  <c r="AI95" i="11"/>
  <c r="BA21" i="23"/>
  <c r="F23" i="23"/>
  <c r="AY101" i="23"/>
  <c r="AF49" i="23"/>
  <c r="AZ8" i="23"/>
  <c r="AT161" i="23"/>
  <c r="F47" i="23"/>
  <c r="BF96" i="23"/>
  <c r="K107" i="7"/>
  <c r="L107" i="7"/>
  <c r="E48" i="23"/>
  <c r="F48" i="23"/>
  <c r="BF22" i="23"/>
  <c r="BD20" i="23"/>
  <c r="AU106" i="23"/>
  <c r="AS30" i="23"/>
  <c r="AE95" i="11"/>
  <c r="BF161" i="23"/>
  <c r="P11" i="23"/>
  <c r="H48" i="11"/>
  <c r="AJ48" i="11"/>
  <c r="J27" i="23"/>
  <c r="BB150" i="23"/>
  <c r="BA173" i="23"/>
  <c r="AT147" i="23"/>
  <c r="J35" i="23"/>
  <c r="BB162" i="23"/>
  <c r="BA175" i="23"/>
  <c r="M43" i="23"/>
  <c r="AZ58" i="23"/>
  <c r="M45" i="23"/>
  <c r="M44" i="23"/>
  <c r="D35" i="23"/>
  <c r="AV43" i="23"/>
  <c r="AB46" i="11"/>
  <c r="AB48" i="11"/>
  <c r="D43" i="23"/>
  <c r="BF31" i="23"/>
  <c r="BD22" i="23"/>
  <c r="L31" i="23"/>
  <c r="BH156" i="23"/>
  <c r="BB174" i="23"/>
  <c r="AU26" i="23"/>
  <c r="P27" i="23"/>
  <c r="P28" i="23"/>
  <c r="P29" i="23"/>
  <c r="G46" i="11"/>
  <c r="G48" i="11"/>
  <c r="H95" i="11"/>
  <c r="H27" i="23"/>
  <c r="AV150" i="23"/>
  <c r="AZ173" i="23"/>
  <c r="L95" i="11"/>
  <c r="M47" i="23"/>
  <c r="AZ59" i="23"/>
  <c r="M49" i="23"/>
  <c r="M48" i="23"/>
  <c r="J47" i="23"/>
  <c r="BD155" i="23"/>
  <c r="BA176" i="23"/>
  <c r="BA147" i="23"/>
  <c r="L47" i="23"/>
  <c r="BJ155" i="23"/>
  <c r="BB176" i="23"/>
  <c r="AS9" i="23"/>
  <c r="P95" i="11"/>
  <c r="AY98" i="23"/>
  <c r="BA87" i="23"/>
  <c r="L35" i="23"/>
  <c r="BH162" i="23"/>
  <c r="BB175" i="23"/>
  <c r="F46" i="11"/>
  <c r="F48" i="11"/>
  <c r="AA48" i="11"/>
  <c r="J31" i="23"/>
  <c r="BB156" i="23"/>
  <c r="BA174" i="23"/>
  <c r="AZ147" i="23"/>
  <c r="G95" i="11"/>
  <c r="P49" i="23"/>
  <c r="P48" i="23"/>
  <c r="P47" i="23"/>
  <c r="AC46" i="11"/>
  <c r="AC48" i="11"/>
  <c r="BF157" i="23"/>
  <c r="AU42" i="23"/>
  <c r="AT157" i="23"/>
  <c r="BA85" i="23"/>
  <c r="AT136" i="23"/>
  <c r="H31" i="23"/>
  <c r="AV156" i="23"/>
  <c r="AZ174" i="23"/>
  <c r="AZ136" i="23"/>
  <c r="J95" i="11"/>
  <c r="X46" i="11"/>
  <c r="X48" i="11"/>
  <c r="AF48" i="11"/>
  <c r="Q11" i="23"/>
  <c r="O31" i="23"/>
  <c r="O32" i="23"/>
  <c r="O33" i="23"/>
  <c r="BF147" i="23"/>
  <c r="L27" i="23"/>
  <c r="BH150" i="23"/>
  <c r="BB173" i="23"/>
  <c r="M35" i="23"/>
  <c r="AZ56" i="23"/>
  <c r="AV47" i="23"/>
  <c r="M37" i="23"/>
  <c r="M36" i="23"/>
  <c r="Q27" i="23"/>
  <c r="Q28" i="23"/>
  <c r="Q29" i="23"/>
  <c r="D11" i="23"/>
  <c r="AY11" i="23"/>
  <c r="E95" i="11"/>
  <c r="D47" i="23"/>
  <c r="BH31" i="23"/>
  <c r="BB172" i="23"/>
  <c r="N39" i="23"/>
  <c r="AZ122" i="23"/>
  <c r="N41" i="23"/>
  <c r="N40" i="23"/>
  <c r="AU90" i="23"/>
  <c r="R95" i="11"/>
  <c r="BA23" i="23"/>
  <c r="O11" i="23"/>
  <c r="F43" i="23"/>
  <c r="BH96" i="23"/>
  <c r="T46" i="11"/>
  <c r="T48" i="11"/>
  <c r="P46" i="11"/>
  <c r="P48" i="11"/>
  <c r="D39" i="23"/>
  <c r="BD31" i="23"/>
  <c r="X95" i="11"/>
  <c r="BH86" i="23"/>
  <c r="N49" i="23"/>
  <c r="N48" i="23"/>
  <c r="N47" i="23"/>
  <c r="AZ124" i="23"/>
  <c r="BH164" i="23"/>
  <c r="Q35" i="23"/>
  <c r="Q37" i="23"/>
  <c r="Q36" i="23"/>
  <c r="N45" i="23"/>
  <c r="N44" i="23"/>
  <c r="N43" i="23"/>
  <c r="AZ123" i="23"/>
  <c r="Q31" i="23"/>
  <c r="Q32" i="23"/>
  <c r="Q33" i="23"/>
  <c r="W95" i="11"/>
  <c r="BJ146" i="23"/>
  <c r="BF149" i="23"/>
  <c r="AS73" i="23"/>
  <c r="O47" i="23"/>
  <c r="O49" i="23"/>
  <c r="O48" i="23"/>
  <c r="D46" i="11"/>
  <c r="H46" i="11"/>
  <c r="I46" i="11"/>
  <c r="J46" i="11"/>
  <c r="L46" i="11"/>
  <c r="M46" i="11"/>
  <c r="O46" i="11"/>
  <c r="Q46" i="11"/>
  <c r="R46" i="11"/>
  <c r="S46" i="11"/>
  <c r="U46" i="11"/>
  <c r="V46" i="11"/>
  <c r="Y46" i="11"/>
  <c r="Z46" i="11"/>
  <c r="AA46" i="11"/>
  <c r="AD46" i="11"/>
  <c r="AE46" i="11"/>
  <c r="AF46" i="11"/>
  <c r="AG46" i="11"/>
  <c r="AH46" i="11"/>
  <c r="AI46" i="11"/>
  <c r="AJ46" i="11"/>
  <c r="C46" i="11"/>
  <c r="N37" i="23"/>
  <c r="N36" i="23"/>
  <c r="AV111" i="23"/>
  <c r="N35" i="23"/>
  <c r="AZ121" i="23"/>
  <c r="BF136" i="23"/>
  <c r="AX89" i="23"/>
  <c r="BF86" i="23"/>
  <c r="BH22" i="23"/>
  <c r="BF21" i="23"/>
  <c r="AS94" i="23"/>
  <c r="K95" i="11"/>
  <c r="AX111" i="23"/>
  <c r="N25" i="23"/>
  <c r="N24" i="23"/>
  <c r="N23" i="23"/>
  <c r="AZ120" i="23"/>
  <c r="AE48" i="11"/>
  <c r="BA172" i="23"/>
  <c r="V48" i="11"/>
  <c r="AG48" i="11"/>
  <c r="AS25" i="23"/>
  <c r="M48" i="11"/>
  <c r="B575" i="22"/>
  <c r="AT149" i="23"/>
  <c r="M25" i="23"/>
  <c r="M24" i="23"/>
  <c r="M23" i="23"/>
  <c r="AZ55" i="23"/>
  <c r="AX47" i="23"/>
  <c r="V95" i="11"/>
  <c r="BB164" i="23"/>
  <c r="P35" i="23"/>
  <c r="P37" i="23"/>
  <c r="P36" i="23"/>
  <c r="AZ172" i="23"/>
  <c r="AZ149" i="23"/>
  <c r="Q95" i="11"/>
  <c r="P31" i="23"/>
  <c r="P32" i="23"/>
  <c r="P33" i="23"/>
  <c r="BG147" i="23"/>
  <c r="M41" i="23"/>
  <c r="M40" i="23"/>
  <c r="M39" i="23"/>
  <c r="AZ57" i="23"/>
  <c r="C45" i="11"/>
  <c r="G11" i="20"/>
  <c r="G8" i="20"/>
  <c r="F11" i="20"/>
  <c r="G10" i="20"/>
  <c r="H47" i="23"/>
  <c r="AX155" i="23"/>
  <c r="AZ176" i="23"/>
  <c r="O95" i="11"/>
  <c r="H35" i="23"/>
  <c r="AV162" i="23"/>
  <c r="AZ175" i="23"/>
  <c r="BD151" i="23"/>
  <c r="BD146" i="23"/>
  <c r="Q49" i="23"/>
  <c r="Q48" i="23"/>
  <c r="Q47" i="23"/>
  <c r="AY34" i="23"/>
  <c r="O37" i="23"/>
  <c r="O36" i="23"/>
  <c r="AV164" i="23"/>
  <c r="O35" i="23"/>
  <c r="O27" i="23"/>
  <c r="O28" i="23"/>
  <c r="O29" i="23"/>
  <c r="AX8" i="23"/>
  <c r="AG49" i="23"/>
  <c r="BD84" i="23"/>
  <c r="F35" i="23"/>
  <c r="AV107" i="23"/>
  <c r="BB23" i="23"/>
  <c r="AY23" i="23"/>
  <c r="Z48" i="11"/>
  <c r="AH48" i="11"/>
  <c r="BH147" i="23"/>
  <c r="AV152" i="23"/>
  <c r="AV147" i="23"/>
  <c r="AX95" i="23"/>
  <c r="BH158" i="23"/>
  <c r="BH84" i="23"/>
  <c r="AU33" i="23"/>
  <c r="AU145" i="23"/>
  <c r="AU44" i="23"/>
  <c r="AU21" i="23"/>
  <c r="BF84" i="23"/>
  <c r="BJ144" i="23"/>
  <c r="AU104" i="23"/>
  <c r="CX12" i="23"/>
  <c r="CK12" i="23"/>
  <c r="AT155" i="23"/>
  <c r="AS147" i="23"/>
  <c r="I48" i="11"/>
  <c r="BW12" i="23"/>
  <c r="CJ12" i="23"/>
  <c r="AS136" i="23"/>
  <c r="AU136" i="23"/>
  <c r="O48" i="11"/>
  <c r="AS89" i="23"/>
  <c r="CC12" i="23"/>
  <c r="AY32" i="23"/>
  <c r="AT159" i="23"/>
  <c r="BB158" i="23"/>
  <c r="AZ159" i="23"/>
  <c r="AU108" i="23"/>
  <c r="AX144" i="23"/>
  <c r="BA164" i="23"/>
  <c r="BH20" i="23"/>
  <c r="AU164" i="23"/>
  <c r="BB147" i="23"/>
  <c r="AU85" i="23"/>
  <c r="CT12" i="23"/>
  <c r="BE136" i="23"/>
  <c r="BG136" i="23"/>
  <c r="CO12" i="23"/>
  <c r="AY136" i="23"/>
  <c r="BA136" i="23"/>
  <c r="R48" i="11"/>
  <c r="CF12" i="23"/>
  <c r="BU12" i="23"/>
  <c r="AS26" i="23"/>
  <c r="BF153" i="23"/>
  <c r="BE157" i="23"/>
  <c r="AZ153" i="23"/>
  <c r="AY157" i="23"/>
  <c r="BY12" i="23"/>
  <c r="AX35" i="23"/>
  <c r="BV12" i="23"/>
  <c r="Y48" i="11"/>
  <c r="CM12" i="23"/>
  <c r="CN12" i="23"/>
  <c r="AD48" i="11"/>
  <c r="CR12" i="23"/>
  <c r="CH12" i="23"/>
  <c r="BD144" i="23"/>
  <c r="BB152" i="23"/>
  <c r="AX87" i="23"/>
  <c r="CS12" i="23"/>
  <c r="BA27" i="23"/>
  <c r="BG145" i="23"/>
  <c r="AX31" i="23"/>
  <c r="AU97" i="23"/>
  <c r="BF159" i="23"/>
  <c r="AV158" i="23"/>
  <c r="AU87" i="23"/>
  <c r="AX21" i="23"/>
  <c r="BA145" i="23"/>
  <c r="AU23" i="23"/>
  <c r="BA91" i="23"/>
  <c r="AX99" i="23"/>
  <c r="CD12" i="23"/>
  <c r="AS90" i="23"/>
  <c r="BG164" i="23"/>
  <c r="AI48" i="11"/>
  <c r="CW12" i="23"/>
  <c r="AS157" i="23"/>
  <c r="AT153" i="23"/>
  <c r="BF20" i="23"/>
  <c r="L48" i="11"/>
  <c r="BZ12" i="23"/>
  <c r="AY147" i="23"/>
  <c r="CP12" i="23"/>
  <c r="AZ155" i="23"/>
  <c r="AX23" i="23"/>
  <c r="BR12" i="23"/>
  <c r="AU10" i="23"/>
  <c r="AS24" i="23"/>
  <c r="AZ72" i="23"/>
  <c r="CA12" i="23"/>
  <c r="AU74" i="23"/>
  <c r="S48" i="11"/>
  <c r="CG12" i="23"/>
  <c r="BH152" i="23"/>
  <c r="CU12" i="23"/>
  <c r="BE147" i="23"/>
  <c r="BF155" i="23"/>
  <c r="CI12" i="23"/>
  <c r="U48" i="11"/>
  <c r="Q48" i="11"/>
  <c r="CE12" i="23"/>
  <c r="BT12" i="23"/>
  <c r="N48" i="11"/>
  <c r="AS88" i="23"/>
  <c r="CB12" i="23"/>
  <c r="J48" i="11"/>
  <c r="BX12" i="23"/>
  <c r="B661" i="22"/>
  <c r="B659" i="22"/>
  <c r="O817" i="18"/>
  <c r="P816" i="18"/>
  <c r="P817" i="18"/>
  <c r="L817" i="18"/>
  <c r="M816" i="18"/>
  <c r="L816" i="18"/>
  <c r="O816" i="18"/>
  <c r="N816" i="18"/>
  <c r="M817" i="18"/>
  <c r="N817" i="18"/>
  <c r="B593" i="22"/>
  <c r="B660" i="22"/>
  <c r="N495" i="18"/>
  <c r="P494" i="18"/>
  <c r="P498" i="18"/>
  <c r="L496" i="18"/>
  <c r="O497" i="18"/>
  <c r="P497" i="18"/>
  <c r="P495" i="18"/>
  <c r="N497" i="18"/>
  <c r="M498" i="18"/>
  <c r="P496" i="18"/>
  <c r="O495" i="18"/>
  <c r="N496" i="18"/>
  <c r="M496" i="18"/>
  <c r="N494" i="18"/>
  <c r="M494" i="18"/>
  <c r="M495" i="18"/>
  <c r="M497" i="18"/>
  <c r="N493" i="18"/>
  <c r="P493" i="18"/>
  <c r="O496" i="18"/>
  <c r="L498" i="18"/>
  <c r="O494" i="18"/>
  <c r="L493" i="18"/>
  <c r="O498" i="18"/>
  <c r="L494" i="18"/>
  <c r="O493" i="18"/>
  <c r="B594" i="22"/>
  <c r="L495" i="18"/>
  <c r="L497" i="18"/>
  <c r="N498" i="18"/>
  <c r="M493" i="18"/>
  <c r="B662" i="22"/>
  <c r="AX72" i="23"/>
  <c r="B589" i="22"/>
  <c r="BA141" i="23"/>
  <c r="B588" i="22"/>
  <c r="L681" i="18"/>
  <c r="P681" i="18"/>
  <c r="N680" i="18"/>
  <c r="N681" i="18"/>
  <c r="O680" i="18"/>
  <c r="O681" i="18"/>
  <c r="M680" i="18"/>
  <c r="L680" i="18"/>
  <c r="P680" i="18"/>
  <c r="M681" i="18"/>
  <c r="B595" i="22"/>
  <c r="B663" i="22"/>
  <c r="AU141" i="23"/>
  <c r="B590" i="22"/>
  <c r="M272" i="18"/>
  <c r="P271" i="18"/>
  <c r="M273" i="18"/>
  <c r="P273" i="18"/>
  <c r="L273" i="18"/>
  <c r="O273" i="18"/>
  <c r="M270" i="18"/>
  <c r="L270" i="18"/>
  <c r="M271" i="18"/>
  <c r="O271" i="18"/>
  <c r="N273" i="18"/>
  <c r="P270" i="18"/>
  <c r="L269" i="18"/>
  <c r="N271" i="18"/>
  <c r="O272" i="18"/>
  <c r="O270" i="18"/>
  <c r="M268" i="18"/>
  <c r="N269" i="18"/>
  <c r="N272" i="18"/>
  <c r="L272" i="18"/>
  <c r="O268" i="18"/>
  <c r="P268" i="18"/>
  <c r="N270" i="18"/>
  <c r="O269" i="18"/>
  <c r="P272" i="18"/>
  <c r="L271" i="18"/>
  <c r="M269" i="18"/>
  <c r="L268" i="18"/>
  <c r="N268" i="18"/>
  <c r="P269" i="18"/>
  <c r="B596" i="22"/>
  <c r="P952" i="18"/>
  <c r="M953" i="18"/>
  <c r="L952" i="18"/>
  <c r="L953" i="18"/>
  <c r="O953" i="18"/>
  <c r="O952" i="18"/>
  <c r="M952" i="18"/>
  <c r="P953" i="18"/>
  <c r="N953" i="18"/>
  <c r="N952" i="18"/>
  <c r="B597" i="22"/>
  <c r="BG141" i="23"/>
  <c r="B592" i="22"/>
  <c r="B324" i="22"/>
  <c r="B211" i="22"/>
  <c r="B15" i="22"/>
  <c r="B591" i="22"/>
  <c r="P13" i="23"/>
  <c r="P12" i="23"/>
  <c r="B550" i="22"/>
  <c r="P827" i="18"/>
  <c r="N827" i="18"/>
  <c r="P828" i="18"/>
  <c r="M827" i="18"/>
  <c r="B370" i="22"/>
  <c r="B388" i="22"/>
  <c r="L828" i="18"/>
  <c r="B407" i="22"/>
  <c r="L827" i="18"/>
  <c r="O828" i="18"/>
  <c r="M828" i="18"/>
  <c r="N828" i="18"/>
  <c r="O827" i="18"/>
  <c r="B371" i="22"/>
  <c r="B14" i="22"/>
  <c r="B323" i="22"/>
  <c r="B210" i="22"/>
  <c r="B325" i="22"/>
  <c r="B212" i="22"/>
  <c r="B16" i="22"/>
  <c r="O13" i="23"/>
  <c r="O12" i="23"/>
  <c r="B379" i="22"/>
  <c r="N691" i="18"/>
  <c r="B420" i="22"/>
  <c r="B552" i="22"/>
  <c r="P691" i="18"/>
  <c r="L692" i="18"/>
  <c r="P692" i="18"/>
  <c r="N692" i="18"/>
  <c r="M692" i="18"/>
  <c r="L691" i="18"/>
  <c r="O692" i="18"/>
  <c r="O691" i="18"/>
  <c r="M691" i="18"/>
  <c r="B390" i="22"/>
  <c r="B378" i="22"/>
  <c r="N13" i="23"/>
  <c r="N12" i="23"/>
  <c r="O513" i="18"/>
  <c r="O512" i="18"/>
  <c r="B389" i="22"/>
  <c r="N513" i="18"/>
  <c r="B374" i="22"/>
  <c r="B411" i="22"/>
  <c r="B373" i="22"/>
  <c r="P512" i="18"/>
  <c r="N512" i="18"/>
  <c r="L512" i="18"/>
  <c r="B376" i="22"/>
  <c r="B375" i="22"/>
  <c r="M512" i="18"/>
  <c r="L513" i="18"/>
  <c r="B372" i="22"/>
  <c r="B377" i="22"/>
  <c r="P513" i="18"/>
  <c r="M513" i="18"/>
  <c r="B551" i="22"/>
  <c r="P826" i="18"/>
  <c r="M826" i="18"/>
  <c r="N826" i="18"/>
  <c r="L826" i="18"/>
  <c r="O826" i="18"/>
  <c r="N690" i="18"/>
  <c r="L690" i="18"/>
  <c r="P690" i="18"/>
  <c r="M690" i="18"/>
  <c r="O690" i="18"/>
  <c r="BF91" i="23"/>
  <c r="AX164" i="23"/>
  <c r="B755" i="22"/>
  <c r="B681" i="22"/>
  <c r="B475" i="22"/>
  <c r="B825" i="22"/>
  <c r="B826" i="22"/>
  <c r="B4" i="22"/>
  <c r="M962" i="18"/>
  <c r="O962" i="18"/>
  <c r="L962" i="18"/>
  <c r="N962" i="18"/>
  <c r="P962" i="18"/>
  <c r="C29" i="23"/>
  <c r="D29" i="23"/>
  <c r="B5" i="22"/>
  <c r="B2" i="22"/>
  <c r="B327" i="22"/>
  <c r="B18" i="22"/>
  <c r="B214" i="22"/>
  <c r="BD111" i="23"/>
  <c r="B674" i="22"/>
  <c r="B440" i="22"/>
  <c r="B748" i="22"/>
  <c r="BH111" i="23"/>
  <c r="B446" i="22"/>
  <c r="B750" i="22"/>
  <c r="B676" i="22"/>
  <c r="B319" i="22"/>
  <c r="B314" i="22"/>
  <c r="B8" i="22"/>
  <c r="B6" i="22"/>
  <c r="B834" i="22"/>
  <c r="B829" i="22"/>
  <c r="B831" i="22"/>
  <c r="B835" i="22"/>
  <c r="B313" i="22"/>
  <c r="B318" i="22"/>
  <c r="BJ164" i="23"/>
  <c r="B478" i="22"/>
  <c r="B756" i="22"/>
  <c r="B682" i="22"/>
  <c r="B827" i="22"/>
  <c r="B836" i="22"/>
  <c r="B7" i="22"/>
  <c r="B213" i="22"/>
  <c r="B17" i="22"/>
  <c r="B326" i="22"/>
  <c r="M12" i="23"/>
  <c r="M13" i="23"/>
  <c r="B384" i="22"/>
  <c r="M288" i="18"/>
  <c r="B385" i="22"/>
  <c r="N287" i="18"/>
  <c r="L287" i="18"/>
  <c r="B383" i="22"/>
  <c r="B382" i="22"/>
  <c r="P287" i="18"/>
  <c r="B380" i="22"/>
  <c r="B381" i="22"/>
  <c r="B391" i="22"/>
  <c r="O287" i="18"/>
  <c r="B426" i="22"/>
  <c r="N288" i="18"/>
  <c r="L288" i="18"/>
  <c r="M287" i="18"/>
  <c r="P288" i="18"/>
  <c r="O288" i="18"/>
  <c r="B553" i="22"/>
  <c r="BH91" i="23"/>
  <c r="B315" i="22"/>
  <c r="B320" i="22"/>
  <c r="BD164" i="23"/>
  <c r="B680" i="22"/>
  <c r="B458" i="22"/>
  <c r="B754" i="22"/>
  <c r="Q12" i="23"/>
  <c r="Q13" i="23"/>
  <c r="P964" i="18"/>
  <c r="N964" i="18"/>
  <c r="L963" i="18"/>
  <c r="M964" i="18"/>
  <c r="P963" i="18"/>
  <c r="N963" i="18"/>
  <c r="O964" i="18"/>
  <c r="B392" i="22"/>
  <c r="L964" i="18"/>
  <c r="B434" i="22"/>
  <c r="B387" i="22"/>
  <c r="O963" i="18"/>
  <c r="M963" i="18"/>
  <c r="B554" i="22"/>
  <c r="B386" i="22"/>
  <c r="L286" i="18"/>
  <c r="M286" i="18"/>
  <c r="P286" i="18"/>
  <c r="O286" i="18"/>
  <c r="N286" i="18"/>
  <c r="P511" i="18"/>
  <c r="N511" i="18"/>
  <c r="M511" i="18"/>
  <c r="L511" i="18"/>
  <c r="O511" i="18"/>
  <c r="B3" i="22"/>
  <c r="B832" i="22"/>
  <c r="B483" i="22"/>
  <c r="B572" i="22"/>
  <c r="B507" i="22"/>
  <c r="B578" i="22"/>
  <c r="B502" i="22"/>
  <c r="B525" i="22"/>
  <c r="B493" i="22"/>
  <c r="B580" i="22"/>
  <c r="B579" i="22"/>
  <c r="B577" i="22"/>
  <c r="B574" i="22"/>
  <c r="B513" i="22"/>
  <c r="B576" i="22"/>
  <c r="B479" i="22"/>
  <c r="B573" i="22"/>
  <c r="B530" i="22"/>
  <c r="B581" i="22"/>
  <c r="B498" i="22"/>
  <c r="B521" i="22"/>
  <c r="B517" i="22"/>
  <c r="B582" i="22"/>
  <c r="B487" i="22"/>
  <c r="B822" i="22"/>
  <c r="B824" i="22"/>
  <c r="B820" i="22"/>
  <c r="B830" i="22"/>
  <c r="B833" i="22"/>
  <c r="B828" i="22"/>
  <c r="BF111" i="23"/>
  <c r="B752" i="22"/>
  <c r="B678" i="22"/>
  <c r="B452" i="22"/>
  <c r="B823" i="22"/>
  <c r="B821" i="22"/>
  <c r="B819" i="22"/>
  <c r="B202" i="22"/>
  <c r="B203" i="22"/>
  <c r="BH27" i="23"/>
  <c r="B205" i="22"/>
  <c r="BF27" i="23"/>
  <c r="B316" i="22"/>
  <c r="B321" i="22"/>
  <c r="BF47" i="23"/>
  <c r="B679" i="22"/>
  <c r="B455" i="22"/>
  <c r="B753" i="22"/>
  <c r="B356" i="22"/>
  <c r="B542" i="22"/>
  <c r="B657" i="22"/>
  <c r="B347" i="22"/>
  <c r="BH47" i="23"/>
  <c r="B677" i="22"/>
  <c r="B751" i="22"/>
  <c r="B449" i="22"/>
  <c r="B322" i="22"/>
  <c r="B317" i="22"/>
  <c r="B647" i="22"/>
  <c r="B340" i="22"/>
  <c r="B342" i="22"/>
  <c r="B349" i="22"/>
  <c r="B353" i="22"/>
  <c r="B645" i="22"/>
  <c r="B643" i="22"/>
  <c r="B541" i="22"/>
  <c r="B351" i="22"/>
  <c r="B344" i="22"/>
  <c r="B355" i="22"/>
  <c r="B540" i="22"/>
  <c r="B346" i="22"/>
  <c r="B656" i="22"/>
  <c r="B357" i="22"/>
  <c r="B544" i="22"/>
  <c r="B348" i="22"/>
  <c r="B658" i="22"/>
  <c r="D95" i="11"/>
  <c r="BD47" i="23"/>
  <c r="B675" i="22"/>
  <c r="B749" i="22"/>
  <c r="B443" i="22"/>
  <c r="AU40" i="23"/>
  <c r="AY96" i="23"/>
  <c r="B650" i="22"/>
  <c r="I15" i="20"/>
  <c r="M15" i="20"/>
  <c r="B654" i="22"/>
  <c r="B201" i="22"/>
  <c r="AX151" i="23"/>
  <c r="B690" i="22"/>
  <c r="B652" i="22"/>
  <c r="B651" i="22"/>
  <c r="W15" i="20"/>
  <c r="B649" i="22"/>
  <c r="B362" i="22"/>
  <c r="M793" i="18"/>
  <c r="P793" i="18"/>
  <c r="N793" i="18"/>
  <c r="O793" i="18"/>
  <c r="L793" i="18"/>
  <c r="B653" i="22"/>
  <c r="Z15" i="20"/>
  <c r="BJ151" i="23"/>
  <c r="B692" i="22"/>
  <c r="L657" i="18"/>
  <c r="P657" i="18"/>
  <c r="O657" i="18"/>
  <c r="N657" i="18"/>
  <c r="M657" i="18"/>
  <c r="B364" i="22"/>
  <c r="AH15" i="20"/>
  <c r="BD91" i="23"/>
  <c r="B689" i="22"/>
  <c r="B655" i="22"/>
  <c r="B688" i="22"/>
  <c r="B762" i="22"/>
  <c r="L658" i="18"/>
  <c r="P658" i="18"/>
  <c r="B368" i="22"/>
  <c r="N658" i="18"/>
  <c r="O658" i="18"/>
  <c r="M658" i="18"/>
  <c r="B359" i="22"/>
  <c r="V15" i="20"/>
  <c r="B759" i="22"/>
  <c r="M463" i="18"/>
  <c r="O463" i="18"/>
  <c r="N463" i="18"/>
  <c r="L463" i="18"/>
  <c r="B363" i="22"/>
  <c r="P463" i="18"/>
  <c r="B207" i="22"/>
  <c r="B204" i="22"/>
  <c r="B547" i="22"/>
  <c r="B549" i="22"/>
  <c r="B548" i="22"/>
  <c r="B545" i="22"/>
  <c r="B546" i="22"/>
  <c r="B758" i="22"/>
  <c r="N232" i="18"/>
  <c r="B361" i="22"/>
  <c r="P232" i="18"/>
  <c r="O232" i="18"/>
  <c r="M232" i="18"/>
  <c r="L232" i="18"/>
  <c r="Y15" i="20"/>
  <c r="B648" i="22"/>
  <c r="B345" i="22"/>
  <c r="B543" i="22"/>
  <c r="B352" i="22"/>
  <c r="B350" i="22"/>
  <c r="B341" i="22"/>
  <c r="B646" i="22"/>
  <c r="B644" i="22"/>
  <c r="B343" i="22"/>
  <c r="B354" i="22"/>
  <c r="N226" i="18"/>
  <c r="L226" i="18"/>
  <c r="O226" i="18"/>
  <c r="M226" i="18"/>
  <c r="P226" i="18"/>
  <c r="B206" i="22"/>
  <c r="B763" i="22"/>
  <c r="B369" i="22"/>
  <c r="O930" i="18"/>
  <c r="L930" i="18"/>
  <c r="P930" i="18"/>
  <c r="M930" i="18"/>
  <c r="N930" i="18"/>
  <c r="B761" i="22"/>
  <c r="O794" i="18"/>
  <c r="L794" i="18"/>
  <c r="M794" i="18"/>
  <c r="P794" i="18"/>
  <c r="B367" i="22"/>
  <c r="N794" i="18"/>
  <c r="B757" i="22"/>
  <c r="P457" i="18"/>
  <c r="M457" i="18"/>
  <c r="O457" i="18"/>
  <c r="L457" i="18"/>
  <c r="N457" i="18"/>
  <c r="B360" i="22"/>
  <c r="M929" i="18"/>
  <c r="L929" i="18"/>
  <c r="N929" i="18"/>
  <c r="B366" i="22"/>
  <c r="O929" i="18"/>
  <c r="P929" i="18"/>
  <c r="B565" i="22"/>
  <c r="B568" i="22"/>
  <c r="B566" i="22"/>
  <c r="B463" i="22"/>
  <c r="B459" i="22"/>
  <c r="B564" i="22"/>
  <c r="B461" i="22"/>
  <c r="B467" i="22"/>
  <c r="B562" i="22"/>
  <c r="B567" i="22"/>
  <c r="B465" i="22"/>
  <c r="B563" i="22"/>
  <c r="B469" i="22"/>
  <c r="B471" i="22"/>
  <c r="B760" i="22"/>
  <c r="M238" i="18"/>
  <c r="L238" i="18"/>
  <c r="N238" i="18"/>
  <c r="B365" i="22"/>
  <c r="P238" i="18"/>
  <c r="O238" i="18"/>
  <c r="L451" i="18"/>
  <c r="O451" i="18"/>
  <c r="B358" i="22"/>
  <c r="N451" i="18"/>
  <c r="P451" i="18"/>
  <c r="M451" i="18"/>
  <c r="BD27" i="23"/>
  <c r="B691" i="22"/>
  <c r="P15" i="20"/>
  <c r="AM15" i="20"/>
  <c r="G15" i="20"/>
  <c r="N15" i="20"/>
  <c r="AI15" i="20"/>
  <c r="J15" i="20"/>
  <c r="AJ15" i="20"/>
  <c r="AE15" i="20"/>
  <c r="AS75" i="23"/>
  <c r="B617" i="22"/>
  <c r="B619" i="22"/>
  <c r="B618" i="22"/>
  <c r="O15" i="20"/>
  <c r="B444" i="22"/>
  <c r="B450" i="22"/>
  <c r="B473" i="22"/>
  <c r="B456" i="22"/>
  <c r="B476" i="22"/>
  <c r="B438" i="22"/>
  <c r="B447" i="22"/>
  <c r="B441" i="22"/>
  <c r="B453" i="22"/>
  <c r="B557" i="22"/>
  <c r="B569" i="22"/>
  <c r="B570" i="22"/>
  <c r="B556" i="22"/>
  <c r="B558" i="22"/>
  <c r="B555" i="22"/>
  <c r="B561" i="22"/>
  <c r="B560" i="22"/>
  <c r="B559" i="22"/>
  <c r="S15" i="20"/>
  <c r="B620" i="22"/>
  <c r="B625" i="22"/>
  <c r="B626" i="22"/>
  <c r="B628" i="22"/>
  <c r="B627" i="22"/>
  <c r="B624" i="22"/>
  <c r="B622" i="22"/>
  <c r="B623" i="22"/>
  <c r="B631" i="22"/>
  <c r="B633" i="22"/>
  <c r="B634" i="22"/>
  <c r="B632" i="22"/>
  <c r="X15" i="20"/>
  <c r="R15" i="20"/>
  <c r="B640" i="22"/>
  <c r="B635" i="22"/>
  <c r="B639" i="22"/>
  <c r="B642" i="22"/>
  <c r="B637" i="22"/>
  <c r="B638" i="22"/>
  <c r="B636" i="22"/>
  <c r="B641" i="22"/>
  <c r="B629" i="22"/>
  <c r="B621" i="22"/>
  <c r="B615" i="22"/>
  <c r="B616" i="22"/>
  <c r="B630" i="22"/>
  <c r="AD15" i="20"/>
  <c r="AC15" i="20"/>
  <c r="BJ34" i="23"/>
  <c r="BJ35" i="23"/>
  <c r="I12" i="16"/>
  <c r="BF138" i="23"/>
  <c r="I28" i="16"/>
  <c r="AZ138" i="23"/>
  <c r="I32" i="16"/>
  <c r="I24" i="16"/>
  <c r="BD161" i="23"/>
  <c r="I29" i="16"/>
  <c r="I7" i="16"/>
  <c r="AS29" i="23"/>
  <c r="I27" i="16"/>
  <c r="AC49" i="23"/>
  <c r="AS11" i="23"/>
  <c r="I23" i="16"/>
  <c r="I15" i="16"/>
  <c r="I16" i="16"/>
  <c r="I31" i="16"/>
  <c r="I20" i="16"/>
  <c r="BJ98" i="23"/>
  <c r="I11" i="16"/>
  <c r="BJ36" i="23"/>
  <c r="I25" i="16"/>
  <c r="BJ99" i="23"/>
  <c r="I21" i="16"/>
  <c r="I10" i="16"/>
  <c r="AX161" i="23"/>
  <c r="B604" i="22"/>
  <c r="B605" i="22"/>
  <c r="B608" i="22"/>
  <c r="B606" i="22"/>
  <c r="B610" i="22"/>
  <c r="B603" i="22"/>
  <c r="K60" i="3"/>
  <c r="K57" i="3"/>
  <c r="K49" i="3"/>
  <c r="L51" i="3"/>
  <c r="K44" i="3"/>
  <c r="K63" i="3"/>
  <c r="L63" i="3"/>
  <c r="L64" i="3"/>
  <c r="K55" i="3"/>
  <c r="K62" i="3"/>
  <c r="L42" i="3"/>
  <c r="K56" i="3"/>
  <c r="K64" i="3"/>
  <c r="K51" i="3"/>
  <c r="L52" i="3"/>
  <c r="L48" i="3"/>
  <c r="K54" i="3"/>
  <c r="K52" i="3"/>
  <c r="L46" i="3"/>
  <c r="L59" i="3"/>
  <c r="L50" i="3"/>
  <c r="L58" i="3"/>
  <c r="K48" i="3"/>
  <c r="L56" i="3"/>
  <c r="L57" i="3"/>
  <c r="K47" i="3"/>
  <c r="L54" i="3"/>
  <c r="L53" i="3"/>
  <c r="K61" i="3"/>
  <c r="L61" i="3"/>
  <c r="K50" i="3"/>
  <c r="K43" i="3"/>
  <c r="L55" i="3"/>
  <c r="L47" i="3"/>
  <c r="K58" i="3"/>
  <c r="K59" i="3"/>
  <c r="K46" i="3"/>
  <c r="L62" i="3"/>
  <c r="K53" i="3"/>
  <c r="L60" i="3"/>
  <c r="I17" i="16"/>
  <c r="I13" i="16"/>
  <c r="I18" i="16"/>
  <c r="I33" i="16"/>
  <c r="BJ161" i="23"/>
  <c r="BJ100" i="23"/>
  <c r="I19" i="16"/>
  <c r="A6" i="2"/>
  <c r="J6" i="2"/>
  <c r="E6" i="2"/>
  <c r="BQ12" i="23"/>
  <c r="Y6" i="2"/>
  <c r="Z6" i="2"/>
  <c r="L6" i="2"/>
  <c r="I6" i="2"/>
  <c r="U6" i="2"/>
  <c r="F6" i="2"/>
  <c r="O6" i="2"/>
  <c r="P6" i="2"/>
  <c r="B6" i="2"/>
  <c r="V6" i="2"/>
  <c r="H6" i="2"/>
  <c r="S6" i="2"/>
  <c r="R6" i="2"/>
  <c r="K6" i="2"/>
  <c r="X6" i="2"/>
  <c r="N6" i="2"/>
  <c r="G6" i="2"/>
  <c r="D6" i="2"/>
  <c r="BP12" i="23"/>
  <c r="Q6" i="2"/>
  <c r="M6" i="2"/>
  <c r="C6" i="2"/>
  <c r="W6" i="2"/>
  <c r="T6" i="2"/>
  <c r="I8" i="16"/>
  <c r="I9" i="16"/>
  <c r="J22" i="3"/>
  <c r="L22" i="3"/>
  <c r="J44" i="3"/>
  <c r="B725" i="22"/>
  <c r="P220" i="18"/>
  <c r="M445" i="18"/>
  <c r="M222" i="18"/>
  <c r="O222" i="18"/>
  <c r="L652" i="18"/>
  <c r="P650" i="18"/>
  <c r="P922" i="18"/>
  <c r="B724" i="22"/>
  <c r="N650" i="18"/>
  <c r="M447" i="18"/>
  <c r="O788" i="18"/>
  <c r="M650" i="18"/>
  <c r="M786" i="18"/>
  <c r="N786" i="18"/>
  <c r="L922" i="18"/>
  <c r="L924" i="18"/>
  <c r="B722" i="22"/>
  <c r="L220" i="18"/>
  <c r="P652" i="18"/>
  <c r="N922" i="18"/>
  <c r="P447" i="18"/>
  <c r="N924" i="18"/>
  <c r="L786" i="18"/>
  <c r="O922" i="18"/>
  <c r="M220" i="18"/>
  <c r="N222" i="18"/>
  <c r="M788" i="18"/>
  <c r="N788" i="18"/>
  <c r="O445" i="18"/>
  <c r="M924" i="18"/>
  <c r="O650" i="18"/>
  <c r="O924" i="18"/>
  <c r="O652" i="18"/>
  <c r="P788" i="18"/>
  <c r="L445" i="18"/>
  <c r="M652" i="18"/>
  <c r="N447" i="18"/>
  <c r="O447" i="18"/>
  <c r="P222" i="18"/>
  <c r="L650" i="18"/>
  <c r="L447" i="18"/>
  <c r="P786" i="18"/>
  <c r="P445" i="18"/>
  <c r="L788" i="18"/>
  <c r="N652" i="18"/>
  <c r="M922" i="18"/>
  <c r="O786" i="18"/>
  <c r="B721" i="22"/>
  <c r="N445" i="18"/>
  <c r="L222" i="18"/>
  <c r="O220" i="18"/>
  <c r="B723" i="22"/>
  <c r="N220" i="18"/>
  <c r="B401" i="22"/>
  <c r="P924" i="18"/>
  <c r="B693" i="22"/>
  <c r="B209" i="22"/>
  <c r="K156" i="3"/>
  <c r="L156" i="3"/>
  <c r="B697" i="22"/>
  <c r="B208" i="22"/>
  <c r="B701" i="22"/>
  <c r="B695" i="22"/>
  <c r="B702" i="22"/>
  <c r="K155" i="3"/>
  <c r="L155" i="3"/>
  <c r="B700" i="22"/>
  <c r="B696" i="22"/>
  <c r="B699" i="22"/>
  <c r="B698" i="22"/>
  <c r="B694" i="22"/>
  <c r="B330" i="22"/>
  <c r="B339" i="22"/>
  <c r="B335" i="22"/>
  <c r="B332" i="22"/>
  <c r="B337" i="22"/>
  <c r="B336" i="22"/>
  <c r="B331" i="22"/>
  <c r="B329" i="22"/>
  <c r="B338" i="22"/>
  <c r="B333" i="22"/>
  <c r="B334" i="22"/>
  <c r="B328" i="22"/>
  <c r="B535" i="22"/>
  <c r="B539" i="22"/>
  <c r="B537" i="22"/>
  <c r="B536" i="22"/>
  <c r="B538" i="22"/>
  <c r="I58" i="3"/>
  <c r="I50" i="3"/>
  <c r="I64" i="3"/>
  <c r="I48" i="3"/>
  <c r="J43" i="3"/>
  <c r="I46" i="3"/>
  <c r="I53" i="3"/>
  <c r="J57" i="3"/>
  <c r="I49" i="3"/>
  <c r="J49" i="3"/>
  <c r="I51" i="3"/>
  <c r="J47" i="3"/>
  <c r="I43" i="3"/>
  <c r="J61" i="3"/>
  <c r="J51" i="3"/>
  <c r="J64" i="3"/>
  <c r="I60" i="3"/>
  <c r="I59" i="3"/>
  <c r="J60" i="3"/>
  <c r="J56" i="3"/>
  <c r="J63" i="3"/>
  <c r="I52" i="3"/>
  <c r="J52" i="3"/>
  <c r="J62" i="3"/>
  <c r="I47" i="3"/>
  <c r="I57" i="3"/>
  <c r="I55" i="3"/>
  <c r="I54" i="3"/>
  <c r="J59" i="3"/>
  <c r="J58" i="3"/>
  <c r="J50" i="3"/>
  <c r="J48" i="3"/>
  <c r="I56" i="3"/>
  <c r="J55" i="3"/>
  <c r="I44" i="3"/>
  <c r="J46" i="3"/>
  <c r="I63" i="3"/>
  <c r="J53" i="3"/>
  <c r="L49" i="3"/>
  <c r="K37" i="3"/>
  <c r="J54" i="3"/>
  <c r="I61" i="3"/>
  <c r="I62" i="3"/>
  <c r="AY3" i="23"/>
  <c r="C5" i="23"/>
  <c r="BO12" i="23"/>
  <c r="K6" i="3"/>
  <c r="BO5" i="23"/>
  <c r="AY132" i="23"/>
  <c r="AY67" i="23"/>
  <c r="F5" i="20"/>
  <c r="I17" i="18"/>
  <c r="AB5" i="23"/>
  <c r="P17" i="3"/>
  <c r="BN1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<sst xmlns="http://schemas.openxmlformats.org/spreadsheetml/2006/main" count="14984" uniqueCount="4059">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</sst>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183632" y="197126"/>
          <a:ext cx="2767219" cy="766556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6" sqref="I6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6.5846009179950362E-10</v>
      </c>
      <c r="L74" s="346">
        <f t="shared" si="4"/>
        <v>6.5846009179950362E-10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6.5846009179950347E-9</v>
      </c>
      <c r="L75" s="346">
        <f t="shared" si="4"/>
        <v>6.5846009179950347E-9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2.7869309168574538E-2</v>
      </c>
      <c r="AY8" s="75"/>
      <c r="AZ8" s="295">
        <f>output!AF12</f>
        <v>6.6061689521141847E-6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4.493017103629266E-3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0.16987894543675269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18033.585066788492</v>
      </c>
      <c r="D11" s="117">
        <f>C11/$C$51</f>
        <v>4.7703546362993604E-4</v>
      </c>
      <c r="E11" s="517">
        <f>M.aC*Molweight</f>
        <v>14957.28294205368</v>
      </c>
      <c r="F11" s="117">
        <f>E11/$E$51</f>
        <v>4.1927335855585933E-4</v>
      </c>
      <c r="G11" s="517">
        <f>M.aM*Molweight</f>
        <v>1905.1873772692443</v>
      </c>
      <c r="H11" s="117">
        <f>G11/$G$51</f>
        <v>2.0125140489943128E-6</v>
      </c>
      <c r="I11" s="517">
        <f>M.aA*Molweight</f>
        <v>80.086215860763957</v>
      </c>
      <c r="J11" s="117">
        <f>I11/$I$51</f>
        <v>1.2769888774299295E-7</v>
      </c>
      <c r="K11" s="517">
        <f>M.aT*Molweight</f>
        <v>114.64441734498992</v>
      </c>
      <c r="L11" s="118">
        <f>K11/$K$51</f>
        <v>1.0047613682833604E-7</v>
      </c>
      <c r="M11" s="320">
        <f>C.aR*(Molweight*1000)</f>
        <v>7.8553752958960189E-8</v>
      </c>
      <c r="N11" s="320">
        <f>C.aC*(Molweight*1000)</f>
        <v>2.0776168270380497E-9</v>
      </c>
      <c r="O11" s="320">
        <f>C.aM*(Molweight*1000)</f>
        <v>2.4560505296802809E-11</v>
      </c>
      <c r="P11" s="320">
        <f>C.aA*(Molweight*1000)</f>
        <v>1.8843815496650344E-12</v>
      </c>
      <c r="Q11" s="321">
        <f>C.aT*(Molweight*1000)</f>
        <v>8.991719007450189E-13</v>
      </c>
      <c r="R11" s="119" t="s">
        <v>1493</v>
      </c>
      <c r="S11" s="323">
        <f>F.aR</f>
        <v>8.3467413497186804E-7</v>
      </c>
      <c r="T11" s="323">
        <f>F.aC</f>
        <v>2.2075750204028649E-8</v>
      </c>
      <c r="U11" s="323">
        <f>F.aM</f>
        <v>2.609680345099609E-10</v>
      </c>
      <c r="V11" s="323">
        <f>F.aA</f>
        <v>1.847692725394471E-11</v>
      </c>
      <c r="W11" s="324">
        <f>F.aT</f>
        <v>9.9899691680387372E-12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4.7703546362993604E-4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8833.9029203949922</v>
      </c>
      <c r="D12" s="122">
        <f>C12/$C$51</f>
        <v>2.3367982348963606E-4</v>
      </c>
      <c r="E12" s="318">
        <f>FRgas.aC*E11</f>
        <v>7326.9505189138063</v>
      </c>
      <c r="F12" s="122">
        <f>E12/$E$51</f>
        <v>2.05384571779438E-4</v>
      </c>
      <c r="G12" s="318">
        <f>FRgas.aM*G11</f>
        <v>933.27201849363962</v>
      </c>
      <c r="H12" s="122">
        <f>G12/$G$51</f>
        <v>9.8584688895211817E-7</v>
      </c>
      <c r="I12" s="318">
        <f>FRgas.aA*I11</f>
        <v>7.4648141707060773</v>
      </c>
      <c r="J12" s="122">
        <f>I12/$I$51</f>
        <v>1.1902778231707116E-8</v>
      </c>
      <c r="K12" s="318">
        <f>FRgas.aT*K11</f>
        <v>63.256386032858174</v>
      </c>
      <c r="L12" s="123">
        <f>K12/$K$51</f>
        <v>5.5438873043225911E-8</v>
      </c>
      <c r="M12" s="320">
        <f>FRgas.aR*M11</f>
        <v>3.8480214838153904E-8</v>
      </c>
      <c r="N12" s="320">
        <f>FRgas.aC*N11</f>
        <v>1.0177380308940244E-9</v>
      </c>
      <c r="O12" s="320">
        <f>FRgas.aM*O11</f>
        <v>1.2031169546391322E-11</v>
      </c>
      <c r="P12" s="320">
        <f>FRgas.aA*P11</f>
        <v>1.7564268636955476E-13</v>
      </c>
      <c r="Q12" s="320">
        <f>FRgas.aT*Q11</f>
        <v>4.9612851790476993E-13</v>
      </c>
      <c r="R12" s="120" t="s">
        <v>1493</v>
      </c>
      <c r="S12" s="325">
        <f>S11*FRgas.aR</f>
        <v>4.0887212671236452E-7</v>
      </c>
      <c r="T12" s="325">
        <f>T11*FRgas.aC</f>
        <v>1.0813991420731311E-8</v>
      </c>
      <c r="U12" s="325">
        <f>U11*FRgas.aM</f>
        <v>1.2783738084519628E-10</v>
      </c>
      <c r="V12" s="325">
        <f>V11*FRgas.aA</f>
        <v>1.7222293114229319E-12</v>
      </c>
      <c r="W12" s="326">
        <f>W11*FRgas.aT</f>
        <v>5.5120812751675194E-12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4.493017103629266E-3</v>
      </c>
      <c r="AE12" s="325">
        <f>k.aR.aC*M.aR*Molweight</f>
        <v>0.16987894543675269</v>
      </c>
      <c r="AF12" s="325">
        <f>kesc.aR*M.aR*Molweight</f>
        <v>6.6061689521141847E-6</v>
      </c>
      <c r="AG12" s="326">
        <f>KDEG.aR*M.aR*Molweight</f>
        <v>2.7869309168574538E-2</v>
      </c>
      <c r="AH12" s="325">
        <f>SUM(AH13:AH15)</f>
        <v>5.0636130582941488E-3</v>
      </c>
      <c r="AI12" s="325">
        <f>SUM(AI13:AI15)</f>
        <v>9.7385157455104511E-7</v>
      </c>
      <c r="AJ12" s="325">
        <f>SUM(AJ18:AJ20)</f>
        <v>0.11877888130652983</v>
      </c>
      <c r="AK12" s="325">
        <f>SUM(AK18:AK20)</f>
        <v>5.4443462536250507E-6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80868.094469903546</v>
      </c>
      <c r="BS12" s="425"/>
      <c r="BT12" s="425">
        <f>engine!F45</f>
        <v>43845386.87537843</v>
      </c>
      <c r="BU12" s="425">
        <f>engine!G45</f>
        <v>2328591.9823089936</v>
      </c>
      <c r="BV12" s="425">
        <f>engine!H45</f>
        <v>1245888.5993615626</v>
      </c>
      <c r="BW12" s="425">
        <f>engine!I45</f>
        <v>19462.95123801479</v>
      </c>
      <c r="BX12" s="425">
        <f>engine!J45</f>
        <v>2497652.0314926743</v>
      </c>
      <c r="BY12" s="425">
        <f>engine!K45</f>
        <v>61519951.454031087</v>
      </c>
      <c r="BZ12" s="425">
        <f>engine!L45</f>
        <v>925056.3079602496</v>
      </c>
      <c r="CA12" s="425">
        <f>engine!M45</f>
        <v>67073.017677370764</v>
      </c>
      <c r="CB12" s="425">
        <f>engine!N45</f>
        <v>7114395.8930942006</v>
      </c>
      <c r="CC12" s="425">
        <f>engine!O45</f>
        <v>3036450.2662956524</v>
      </c>
      <c r="CD12" s="425">
        <f>engine!P45</f>
        <v>143036913.63053936</v>
      </c>
      <c r="CE12" s="425">
        <f>engine!Q45</f>
        <v>86282.253137799053</v>
      </c>
      <c r="CF12" s="425">
        <f>engine!R45</f>
        <v>59776.905880841136</v>
      </c>
      <c r="CG12" s="425">
        <f>engine!S45</f>
        <v>1094892.7566088028</v>
      </c>
      <c r="CH12" s="425">
        <f>engine!T45</f>
        <v>5073132.1318583498</v>
      </c>
      <c r="CI12" s="425">
        <f>engine!U45</f>
        <v>405515.83578103781</v>
      </c>
      <c r="CJ12" s="425">
        <f>engine!V45</f>
        <v>8543.4411536737407</v>
      </c>
      <c r="CK12" s="425">
        <f>engine!W45</f>
        <v>140323196.02934319</v>
      </c>
      <c r="CL12" s="611"/>
      <c r="CM12" s="425">
        <f>engine!Y45</f>
        <v>114345.65802425705</v>
      </c>
      <c r="CN12" s="425">
        <f>engine!Z45</f>
        <v>539647.97068435885</v>
      </c>
      <c r="CO12" s="425">
        <f>engine!AA45</f>
        <v>359.13101282853791</v>
      </c>
      <c r="CP12" s="425">
        <f>engine!AB45</f>
        <v>110212312.31346571</v>
      </c>
      <c r="CQ12" s="425"/>
      <c r="CR12" s="425">
        <f>engine!AD45</f>
        <v>75324.964938085628</v>
      </c>
      <c r="CS12" s="425">
        <f>engine!AE45</f>
        <v>54636.983941286519</v>
      </c>
      <c r="CT12" s="425">
        <f>engine!AF45</f>
        <v>514.10052621071713</v>
      </c>
      <c r="CU12" s="425">
        <f>engine!AG45</f>
        <v>153717696.10092276</v>
      </c>
      <c r="CV12" s="425"/>
      <c r="CW12" s="425">
        <f>engine!AI45</f>
        <v>138111.33277453974</v>
      </c>
      <c r="CX12" s="425">
        <f>engine!AJ45</f>
        <v>10339.034724245848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9199.6821463934994</v>
      </c>
      <c r="D13" s="122">
        <f>C13/$C$51</f>
        <v>2.4335564014030001E-4</v>
      </c>
      <c r="E13" s="318">
        <f>(1-FRgas.aC)*E11</f>
        <v>7630.3324231398738</v>
      </c>
      <c r="F13" s="122">
        <f>E13/$E$51</f>
        <v>2.138887867764213E-4</v>
      </c>
      <c r="G13" s="318">
        <f>(1-FRgas.aM)*G11</f>
        <v>971.91535877560466</v>
      </c>
      <c r="H13" s="122">
        <f>G13/$G$51</f>
        <v>1.0266671600421947E-6</v>
      </c>
      <c r="I13" s="318">
        <f>(1-FRgas.aA)*I11</f>
        <v>72.62140169005788</v>
      </c>
      <c r="J13" s="122">
        <f>I13/$I$51</f>
        <v>1.1579610951128584E-7</v>
      </c>
      <c r="K13" s="318">
        <f>(1-FRgas.aT)*K11</f>
        <v>51.388031312131744</v>
      </c>
      <c r="L13" s="123">
        <f>K13/$K$51</f>
        <v>4.503726378511013E-8</v>
      </c>
      <c r="M13" s="320">
        <f>(1-FRgas.aR)*M11</f>
        <v>4.0073538120806284E-8</v>
      </c>
      <c r="N13" s="320">
        <f>(1-FRgas.aC)*N11</f>
        <v>1.0598787961440253E-9</v>
      </c>
      <c r="O13" s="320">
        <f>(1-FRgas.aM)*O11</f>
        <v>1.2529335750411487E-11</v>
      </c>
      <c r="P13" s="320">
        <f>(1-FRgas.aA)*P11</f>
        <v>1.7087388632954798E-12</v>
      </c>
      <c r="Q13" s="320">
        <f>(1-FRgas.aT)*Q11</f>
        <v>4.0304338284024897E-13</v>
      </c>
      <c r="R13" s="120" t="s">
        <v>1493</v>
      </c>
      <c r="S13" s="325">
        <f>S11*(1-FRgas.aR)</f>
        <v>4.2580200825950352E-7</v>
      </c>
      <c r="T13" s="325">
        <f>T11*(1-FRgas.aC)</f>
        <v>1.1261758783297339E-8</v>
      </c>
      <c r="U13" s="325">
        <f>U11*(1-FRgas.aM)</f>
        <v>1.3313065366476462E-10</v>
      </c>
      <c r="V13" s="325">
        <f>V11*(1-FRgas.aA)</f>
        <v>1.675469794252178E-11</v>
      </c>
      <c r="W13" s="326">
        <f>W11*(1-FRgas.aT)</f>
        <v>4.4778878928712177E-12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3.0503291143581523E-2</v>
      </c>
      <c r="AF13" s="330"/>
      <c r="AG13" s="326">
        <f>KDEG.w0R*M.w0R*Molweight</f>
        <v>2.7388052941287547E-3</v>
      </c>
      <c r="AH13" s="325">
        <f>k.aR.w0R*M.aR*Molweight</f>
        <v>3.682624749380475E-4</v>
      </c>
      <c r="AI13" s="325">
        <f>k.w0R.aR*M.w0R*Molweight</f>
        <v>3.604301422115365E-8</v>
      </c>
      <c r="AJ13" s="325"/>
      <c r="AK13" s="325"/>
      <c r="AL13" s="325">
        <f>SUM(AL18:AL20)*AREAFRAC.w0R/(AREAFRAC.w0R+AREAFRAC.w1R)</f>
        <v>3.287387000578644E-2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3.050329114358153E-2</v>
      </c>
      <c r="AE14" s="325">
        <f>(WATERflow.w1R.w0R+WATERflow.w1R.w2R)*C.w1R*Molweight</f>
        <v>0.71028070685414813</v>
      </c>
      <c r="AF14" s="330"/>
      <c r="AG14" s="326">
        <f>KDEG.w1R*M.w1R*Molweight</f>
        <v>2.1043114520556063E-3</v>
      </c>
      <c r="AH14" s="325">
        <f>k.aR.w1R*M.aR*Molweight</f>
        <v>4.0508872243185234E-3</v>
      </c>
      <c r="AI14" s="325">
        <f>k.w1R.aR*M.w1R*Molweight</f>
        <v>9.2309990971573288E-7</v>
      </c>
      <c r="AJ14" s="325"/>
      <c r="AK14" s="325"/>
      <c r="AL14" s="325">
        <f>SUM(AL18:AL20)*AREAFRAC.w1R/(AREAFRAC.w0R+AREAFRAC.w1R)</f>
        <v>0.36161257006365088</v>
      </c>
      <c r="AM14" s="325">
        <f>k.w1R.sd1R*M.w1R*Molweight</f>
        <v>0.10171006999875758</v>
      </c>
      <c r="AN14" s="326">
        <f>k.sd1R.w1R*M.sd1R*Molweight</f>
        <v>0.10083134313567427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12724230.019894008</v>
      </c>
      <c r="D15" s="122">
        <f>C15/$C$51</f>
        <v>0.33658914433230036</v>
      </c>
      <c r="E15" s="318">
        <f>M.w0C*Molweight</f>
        <v>1586510.2841600068</v>
      </c>
      <c r="F15" s="122">
        <f>E15/$E$51</f>
        <v>4.4472080778318511E-2</v>
      </c>
      <c r="G15" s="318"/>
      <c r="H15" s="122"/>
      <c r="I15" s="318"/>
      <c r="J15" s="122"/>
      <c r="K15" s="318"/>
      <c r="L15" s="123"/>
      <c r="M15" s="320">
        <f>C.w0R*Molweight</f>
        <v>2.2267541706950185E-4</v>
      </c>
      <c r="N15" s="320">
        <f>C.w0C*Molweight</f>
        <v>1.8205199138916378E-6</v>
      </c>
      <c r="O15" s="320"/>
      <c r="P15" s="320"/>
      <c r="Q15" s="320"/>
      <c r="R15" s="120" t="s">
        <v>1489</v>
      </c>
      <c r="S15" s="325">
        <f>F.w0R</f>
        <v>1.7303839096414515E-10</v>
      </c>
      <c r="T15" s="325">
        <f>F.w0C</f>
        <v>1.4147041499406672E-12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0.71081020815370921</v>
      </c>
      <c r="AE15" s="325">
        <f>k.w2R.w2C*M.w2R*Molweight</f>
        <v>0.7113325569586707</v>
      </c>
      <c r="AF15" s="330"/>
      <c r="AG15" s="326">
        <f>KDEG.w2R*M.w2R*Molweight</f>
        <v>1.1176681818110792E-4</v>
      </c>
      <c r="AH15" s="325">
        <f>k.aR.w2R*M.aR*Molweight</f>
        <v>6.4446335903757784E-4</v>
      </c>
      <c r="AI15" s="325">
        <f>k.w2R.aR*M.w2R*Molweight</f>
        <v>1.4708650614158585E-8</v>
      </c>
      <c r="AJ15" s="325"/>
      <c r="AK15" s="325"/>
      <c r="AL15" s="325"/>
      <c r="AM15" s="325">
        <f>k.w2R.sd2R*M.w2R*Molweight</f>
        <v>1.505164822883041E-3</v>
      </c>
      <c r="AN15" s="326">
        <f>k.sd2R.w2R*M.sd2R*Molweight</f>
        <v>1.494831795638616E-3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12724018.253230551</v>
      </c>
      <c r="D16" s="122">
        <f>C16/$C$51</f>
        <v>0.33658354255050771</v>
      </c>
      <c r="E16" s="318">
        <f>FRw.w0C*E15</f>
        <v>1586483.8802055914</v>
      </c>
      <c r="F16" s="122">
        <f>E16/$E$51</f>
        <v>4.4471340638903498E-2</v>
      </c>
      <c r="G16" s="318"/>
      <c r="H16" s="122"/>
      <c r="I16" s="318"/>
      <c r="J16" s="122"/>
      <c r="K16" s="318"/>
      <c r="L16" s="123"/>
      <c r="M16" s="320">
        <f>M15*FRw.w0R</f>
        <v>2.2267171112972924E-4</v>
      </c>
      <c r="N16" s="320">
        <f>N15*FRw.w0C</f>
        <v>1.8204896153645506E-6</v>
      </c>
      <c r="O16" s="320"/>
      <c r="P16" s="320"/>
      <c r="Q16" s="320"/>
      <c r="R16" s="120" t="s">
        <v>1489</v>
      </c>
      <c r="S16" s="325">
        <f>S15*FRw.w0R</f>
        <v>1.7303551112287797E-10</v>
      </c>
      <c r="T16" s="325">
        <f>T15*FRw.w0C</f>
        <v>1.4146806053193311E-12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8.0442930525289485E-4</v>
      </c>
      <c r="AG16" s="326">
        <f>KDEG.sd1R*M.sd1R*Molweight</f>
        <v>7.429755783042127E-5</v>
      </c>
      <c r="AH16" s="325"/>
      <c r="AI16" s="325"/>
      <c r="AJ16" s="325"/>
      <c r="AK16" s="325"/>
      <c r="AL16" s="325"/>
      <c r="AM16" s="325">
        <f>k.w1R.sd1R*M.w1R*Molweight</f>
        <v>0.10171006999875758</v>
      </c>
      <c r="AN16" s="326">
        <f>k.sd1R.w1R*M.sd1R*Molweight</f>
        <v>0.10083134313567427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211.76666345648158</v>
      </c>
      <c r="D17" s="122">
        <f>C17/$C$51</f>
        <v>5.6017817926492579E-6</v>
      </c>
      <c r="E17" s="318">
        <f>(1-FRw.w0C)*E15</f>
        <v>26.403954415369626</v>
      </c>
      <c r="F17" s="122">
        <f>E17/$E$51</f>
        <v>7.4013941501114807E-7</v>
      </c>
      <c r="G17" s="318"/>
      <c r="H17" s="122"/>
      <c r="I17" s="318"/>
      <c r="J17" s="122"/>
      <c r="K17" s="318"/>
      <c r="L17" s="123"/>
      <c r="M17" s="320">
        <f>M16*Kp.susp1R</f>
        <v>1.7114837403559814E-3</v>
      </c>
      <c r="N17" s="320">
        <f>N16*Kp.susp1C</f>
        <v>1.3992520021405431E-5</v>
      </c>
      <c r="O17" s="320"/>
      <c r="P17" s="320"/>
      <c r="Q17" s="320"/>
      <c r="R17" s="120" t="s">
        <v>1494</v>
      </c>
      <c r="S17" s="325">
        <f>S15*(1-FRw.w0R)</f>
        <v>2.8798412671779448E-15</v>
      </c>
      <c r="T17" s="325">
        <f>T15*(1-FRw.w0C)</f>
        <v>2.3544621336031826E-17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9.1723699064433543E-6</v>
      </c>
      <c r="AG17" s="326">
        <f>KDEG.sd2R*M.sd2R*Molweight</f>
        <v>1.1606573379819675E-6</v>
      </c>
      <c r="AH17" s="325"/>
      <c r="AI17" s="325"/>
      <c r="AJ17" s="325"/>
      <c r="AK17" s="325"/>
      <c r="AL17" s="325"/>
      <c r="AM17" s="325">
        <f>k.w2R.sd2R*M.w2R*Molweight</f>
        <v>1.505164822883041E-3</v>
      </c>
      <c r="AN17" s="326">
        <f>k.sd2R.w2R*M.sd2R*Molweight</f>
        <v>1.494831795638616E-3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2.1121840663031581E-4</v>
      </c>
      <c r="AG18" s="326">
        <f>KDEG.s1R*M.s1R*Molweight</f>
        <v>1.4894545655621896E-3</v>
      </c>
      <c r="AH18" s="325"/>
      <c r="AI18" s="325"/>
      <c r="AJ18" s="325">
        <f>k.aR.s1R*M.aR*Molweight</f>
        <v>3.3062162837900061E-2</v>
      </c>
      <c r="AK18" s="325">
        <f>k.s1R.aR*M.s1R*Molweight</f>
        <v>4.3281704035905286E-7</v>
      </c>
      <c r="AL18" s="325">
        <f>(k.s1R.w1R+k.s1R.w0R)*M.s1R*Molweight</f>
        <v>3.13610570486672E-2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9777521.2732093893</v>
      </c>
      <c r="D19" s="122">
        <f>C19/$C$51</f>
        <v>0.25864099547831237</v>
      </c>
      <c r="E19" s="318">
        <f>M.w1C*Molweight</f>
        <v>677128.4093839305</v>
      </c>
      <c r="F19" s="122">
        <f>E19/$E$51</f>
        <v>1.8980847221775347E-2</v>
      </c>
      <c r="G19" s="318"/>
      <c r="H19" s="122"/>
      <c r="I19" s="318"/>
      <c r="J19" s="122"/>
      <c r="K19" s="318"/>
      <c r="L19" s="123"/>
      <c r="M19" s="320">
        <f>C.w1R*Molweight</f>
        <v>5.1850815667950747E-4</v>
      </c>
      <c r="N19" s="320">
        <f>C.w1C*Molweight</f>
        <v>2.3545593267165394E-6</v>
      </c>
      <c r="O19" s="320"/>
      <c r="P19" s="320"/>
      <c r="Q19" s="320"/>
      <c r="R19" s="120" t="s">
        <v>1489</v>
      </c>
      <c r="S19" s="325">
        <f>F.w1R</f>
        <v>4.0292645822507976E-10</v>
      </c>
      <c r="T19" s="325">
        <f>F.w1C</f>
        <v>1.829699760694659E-12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2.3674399534129296E-3</v>
      </c>
      <c r="AG19" s="326">
        <f>KDEG.s2R*M.s2R*Molweight</f>
        <v>3.6686924924289488E-2</v>
      </c>
      <c r="AH19" s="325"/>
      <c r="AI19" s="325"/>
      <c r="AJ19" s="325">
        <f>k.aR.s2R*M.aR*Molweight</f>
        <v>7.3471472973111226E-2</v>
      </c>
      <c r="AK19" s="325">
        <f>k.s2R.aR*M.s2R*Molweight</f>
        <v>4.8512266057256083E-6</v>
      </c>
      <c r="AL19" s="325">
        <f>(k.s2R.w1R+k.s2R.w0R)*M.s2R*Molweight</f>
        <v>0.35151017670644896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9776269.0118339192</v>
      </c>
      <c r="D20" s="122">
        <f>C20/$C$51</f>
        <v>0.25860786989160173</v>
      </c>
      <c r="E20" s="318">
        <f>FRw.w1C*E19</f>
        <v>677041.68579319504</v>
      </c>
      <c r="F20" s="122">
        <f>E20/$E$51</f>
        <v>1.8978416239404113E-2</v>
      </c>
      <c r="G20" s="318"/>
      <c r="H20" s="122"/>
      <c r="I20" s="318"/>
      <c r="J20" s="122"/>
      <c r="K20" s="318"/>
      <c r="L20" s="123"/>
      <c r="M20" s="320">
        <f>M19*FRw.w1R</f>
        <v>5.1844174846424178E-4</v>
      </c>
      <c r="N20" s="320">
        <f>N19*FRw.w1C</f>
        <v>2.3542577652452102E-6</v>
      </c>
      <c r="O20" s="320"/>
      <c r="P20" s="320"/>
      <c r="Q20" s="320"/>
      <c r="R20" s="120" t="s">
        <v>1489</v>
      </c>
      <c r="S20" s="325">
        <f>S19*FRw.w1R</f>
        <v>4.0287485319894976E-10</v>
      </c>
      <c r="T20" s="325">
        <f>T19*FRw.w1C</f>
        <v>1.8294654208988148E-12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7.8229039492709544E-5</v>
      </c>
      <c r="AG20" s="326">
        <f>KDEG.s3R*M.s3R*Molweight</f>
        <v>5.516498390971072E-4</v>
      </c>
      <c r="AH20" s="325"/>
      <c r="AI20" s="325"/>
      <c r="AJ20" s="325">
        <f>k.aR.s3R*M.aR*Molweight</f>
        <v>1.2245245495518538E-2</v>
      </c>
      <c r="AK20" s="325">
        <f>k.s3R.aR*M.s3R*Molweight</f>
        <v>1.6030260754038993E-7</v>
      </c>
      <c r="AL20" s="325">
        <f>(k.s3R.w1R+k.s3R.w0R)*M.s3R*Molweight</f>
        <v>1.1615206314321185E-2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4.3281704035905286E-7</v>
      </c>
      <c r="BE20" s="2"/>
      <c r="BF20" s="296">
        <f>IF(output!AK20&lt;0,"",output!AK20)</f>
        <v>1.6030260754038993E-7</v>
      </c>
      <c r="BG20" s="75"/>
      <c r="BH20" s="296">
        <f>IF(output!AK19&lt;0,"",output!AK19)</f>
        <v>4.8512266057256083E-6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1252.2613754705196</v>
      </c>
      <c r="D21" s="122">
        <f>C21/$C$51</f>
        <v>3.3125586710630904E-5</v>
      </c>
      <c r="E21" s="318">
        <f>(1-FRw.w1C)*E19</f>
        <v>86.723590735482617</v>
      </c>
      <c r="F21" s="122">
        <f>E21/$E$51</f>
        <v>2.4309823712338719E-6</v>
      </c>
      <c r="G21" s="318"/>
      <c r="H21" s="122"/>
      <c r="I21" s="318"/>
      <c r="J21" s="122"/>
      <c r="K21" s="318"/>
      <c r="L21" s="123"/>
      <c r="M21" s="320">
        <f>M20*Kp.susp1R</f>
        <v>3.9848107256935253E-3</v>
      </c>
      <c r="N21" s="320">
        <f>N20*Kp.susp1C</f>
        <v>1.8095131462283139E-5</v>
      </c>
      <c r="O21" s="320"/>
      <c r="P21" s="320"/>
      <c r="Q21" s="320"/>
      <c r="R21" s="120" t="s">
        <v>1494</v>
      </c>
      <c r="S21" s="325">
        <f>S19*(1-FRw.w1R)</f>
        <v>5.160502612997974E-14</v>
      </c>
      <c r="T21" s="325">
        <f>T19*(1-FRw.w1C)</f>
        <v>2.3433979584413492E-16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1.4708650614158585E-8</v>
      </c>
      <c r="AV21" s="75"/>
      <c r="AW21" s="75"/>
      <c r="AX21" s="288">
        <f>IF(output!AI14&lt;0,"",output!AI14)</f>
        <v>9.2309990971573288E-7</v>
      </c>
      <c r="AY21" s="75"/>
      <c r="AZ21" s="75"/>
      <c r="BA21" s="296">
        <f>IF(output!AI13&lt;0,"",output!AI13)</f>
        <v>3.604301422115365E-8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0.17012326899961042</v>
      </c>
      <c r="AE22" s="325">
        <f>(k.aC.aM+k.aC.aR)*M.aC*Molweight</f>
        <v>2.5160781846284782E-2</v>
      </c>
      <c r="AF22" s="325">
        <f>kesc.aC*M.aC*Molweight</f>
        <v>5.4792398635009051E-6</v>
      </c>
      <c r="AG22" s="326">
        <f>KDEG.aC*M.aC*Molweight</f>
        <v>2.3115156586453207E-2</v>
      </c>
      <c r="AH22" s="325">
        <f>SUM(AH23:AH25)</f>
        <v>6.9773667755799559E-2</v>
      </c>
      <c r="AI22" s="325">
        <f>SUM(AI23:AI25)</f>
        <v>1.1359691124937691E-7</v>
      </c>
      <c r="AJ22" s="325">
        <f>SUM(AJ28:AJ30)</f>
        <v>5.2068957220952138E-2</v>
      </c>
      <c r="AK22" s="325">
        <f>SUM(AK28:AK30)</f>
        <v>6.6005283152334612E-7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3.3062162837900061E-2</v>
      </c>
      <c r="BE22" s="2"/>
      <c r="BF22" s="296">
        <f>IF(output!AJ20&lt;0,"",output!AJ20)</f>
        <v>1.2245245495518538E-2</v>
      </c>
      <c r="BG22" s="75"/>
      <c r="BH22" s="296">
        <f>IF(output!AJ19&lt;0,"",output!AJ19)</f>
        <v>7.3471472973111226E-2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277833.15765762847</v>
      </c>
      <c r="D23" s="122">
        <f>C23/$C$51</f>
        <v>7.3494132577698601E-3</v>
      </c>
      <c r="E23" s="318">
        <f>M.sd1C*Molweight</f>
        <v>19240.942449729188</v>
      </c>
      <c r="F23" s="122">
        <f>E23/$E$51</f>
        <v>5.3935026795517093E-4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1.1333591252214552E-3</v>
      </c>
      <c r="N23" s="320">
        <f>C.sd1C*(Molweight*1000)/(FRACw.sdC*1000+FRACs.sdC*RHOsolid)</f>
        <v>5.1466139238749272E-6</v>
      </c>
      <c r="O23" s="320"/>
      <c r="P23" s="320"/>
      <c r="Q23" s="320"/>
      <c r="R23" s="120" t="s">
        <v>1495</v>
      </c>
      <c r="S23" s="325">
        <f>F.sd1R</f>
        <v>4.2069520581528539E-10</v>
      </c>
      <c r="T23" s="325">
        <f>F.sd1C</f>
        <v>1.9103881159763114E-12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3.8032780784657697E-3</v>
      </c>
      <c r="AF23" s="330"/>
      <c r="AG23" s="326">
        <f>KDEG.w0C*M.w0C*Molweight</f>
        <v>3.4148571337154558E-4</v>
      </c>
      <c r="AH23" s="325">
        <f>k.aC.w0C*M.aC*Molweight</f>
        <v>1.5925928812523705E-4</v>
      </c>
      <c r="AI23" s="325">
        <f>k.w0C.aC*M.w0C*Molweight</f>
        <v>4.4939939504851846E-9</v>
      </c>
      <c r="AJ23" s="325"/>
      <c r="AK23" s="325"/>
      <c r="AL23" s="325">
        <f>SUM(AL28:AL30)*AREAFRAC.w0C/(AREAFRAC.w1C+AREAFRAC.w0C)</f>
        <v>3.9855089977060285E-3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6.4446335903757784E-4</v>
      </c>
      <c r="AV23" s="75"/>
      <c r="AW23" s="75"/>
      <c r="AX23" s="288">
        <f>IF(output!AH14&lt;0,"",output!AH14)</f>
        <v>4.0508872243185234E-3</v>
      </c>
      <c r="AY23" s="291">
        <f>output!AL14</f>
        <v>0.36161257006365088</v>
      </c>
      <c r="AZ23" s="87"/>
      <c r="BA23" s="296">
        <f>IF(output!AH13&lt;0,"",output!AH13)</f>
        <v>3.682624749380475E-4</v>
      </c>
      <c r="BB23" s="291">
        <f>output!AL13</f>
        <v>3.287387000578644E-2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222266.52612610278</v>
      </c>
      <c r="D24" s="122">
        <f>C24/$C$51</f>
        <v>5.8795306062158883E-3</v>
      </c>
      <c r="E24" s="318">
        <f>E23*FRACw.sdC</f>
        <v>15392.753959783351</v>
      </c>
      <c r="F24" s="122">
        <f>E24/$E$51</f>
        <v>4.3148021436413677E-4</v>
      </c>
      <c r="G24" s="318"/>
      <c r="H24" s="122"/>
      <c r="I24" s="318"/>
      <c r="J24" s="122"/>
      <c r="K24" s="318"/>
      <c r="L24" s="123"/>
      <c r="M24" s="320">
        <f>M25/Kp.sd1R</f>
        <v>5.413739684707856E-4</v>
      </c>
      <c r="N24" s="320">
        <f>N25/Kp.sd1C</f>
        <v>2.4583935860672115E-6</v>
      </c>
      <c r="O24" s="320"/>
      <c r="P24" s="320"/>
      <c r="Q24" s="320"/>
      <c r="R24" s="120" t="s">
        <v>1489</v>
      </c>
      <c r="S24" s="325">
        <f>S23*FRACw.sdR</f>
        <v>3.3655616465222835E-10</v>
      </c>
      <c r="T24" s="325">
        <f>T23*FRACw.sdC</f>
        <v>1.5283104927810493E-12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3.8032780784657697E-3</v>
      </c>
      <c r="AE24" s="325">
        <f>(k.w1C.w0C+k.w1C.w1R+k.w1C.w2C)*M.w1C*Molweight</f>
        <v>4.9189485945283454E-2</v>
      </c>
      <c r="AF24" s="330"/>
      <c r="AG24" s="326">
        <f>KDEG.w1C*M.w1C*Molweight</f>
        <v>1.4573111390542583E-4</v>
      </c>
      <c r="AH24" s="325">
        <f>k.aC.w1C*M.aC*Molweight</f>
        <v>1.7518521693776073E-3</v>
      </c>
      <c r="AI24" s="325">
        <f>k.w1C.aC*M.w1C*Molweight</f>
        <v>6.3927978891841799E-8</v>
      </c>
      <c r="AJ24" s="518"/>
      <c r="AK24" s="518"/>
      <c r="AL24" s="325">
        <f>SUM(AL28:AL30)*AREAFRAC.w1C/(AREAFRAC.w1C+AREAFRAC.w0C)</f>
        <v>4.3840598974766304E-2</v>
      </c>
      <c r="AM24" s="325">
        <f>k.w1C.sd1C*M.w1C*Molweight</f>
        <v>7.0437870695606959E-3</v>
      </c>
      <c r="AN24" s="326">
        <f>k.sd1C.w1C*M.sd1C*Molweight</f>
        <v>6.9833388341187944E-3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3.0503291143581523E-2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55566.63153152568</v>
      </c>
      <c r="D25" s="122">
        <f>C25/$C$51</f>
        <v>1.4698826515539716E-3</v>
      </c>
      <c r="E25" s="318">
        <f>E23*FRACs.sdC</f>
        <v>3848.1884899458369</v>
      </c>
      <c r="F25" s="122">
        <f>E25/$E$51</f>
        <v>1.0787005359103417E-4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2.0805353760225266E-3</v>
      </c>
      <c r="N25" s="320">
        <f>C.sd1C*FRACs.sdC/(FRACw.sdC/(Kp.sd1C*RHOsolid/1000)+FRACs.sdC)*(Molweight*1000)/(FRACs.sdC*RHOsolid)</f>
        <v>9.4477664643672734E-6</v>
      </c>
      <c r="O25" s="320"/>
      <c r="P25" s="320"/>
      <c r="Q25" s="320"/>
      <c r="R25" s="120" t="s">
        <v>1494</v>
      </c>
      <c r="S25" s="325">
        <f>S23*(1-FRACw.sdR)</f>
        <v>8.4139041163057062E-11</v>
      </c>
      <c r="T25" s="325">
        <f>T23*(1-FRACw.sdC)</f>
        <v>3.8207762319526221E-13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0.95041441927758996</v>
      </c>
      <c r="AE25" s="325">
        <f>(k.w2C.w2M+k.w2C.w2R)*M.w2C*Molweight</f>
        <v>1.0113957498432464</v>
      </c>
      <c r="AF25" s="330"/>
      <c r="AG25" s="326">
        <f>KDEG.w2C*M.w2C*Molweight</f>
        <v>6.8654280528266274E-3</v>
      </c>
      <c r="AH25" s="325">
        <f>k.aC.w2C*M.aC*Molweight</f>
        <v>6.7862556298296711E-2</v>
      </c>
      <c r="AI25" s="325">
        <f>k.w2C.aC*M.w2C*Molweight</f>
        <v>4.5174938407049914E-8</v>
      </c>
      <c r="AJ25" s="325"/>
      <c r="AK25" s="325"/>
      <c r="AL25" s="325"/>
      <c r="AM25" s="325">
        <f>k.w2C.sd2C*M.w2C*Molweight</f>
        <v>4.6228393038819414E-3</v>
      </c>
      <c r="AN25" s="326">
        <f>k.sd2C.w2C*M.sd2C*Molweight</f>
        <v>4.6070867990068241E-3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0.71028070685414813</v>
      </c>
      <c r="AT25" s="75"/>
      <c r="AU25" s="75"/>
      <c r="AV25" s="87"/>
      <c r="AW25" s="75"/>
      <c r="AX25" s="289">
        <f>output!AD14</f>
        <v>3.050329114358153E-2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5.5302863138527116E-5</v>
      </c>
      <c r="AG26" s="326">
        <f>KDEG.sd1C*M.sd1C*Molweight</f>
        <v>5.1453723033742114E-6</v>
      </c>
      <c r="AH26" s="325"/>
      <c r="AI26" s="325"/>
      <c r="AJ26" s="325"/>
      <c r="AK26" s="325"/>
      <c r="AL26" s="325"/>
      <c r="AM26" s="325">
        <f>k.w1C.sd1C*M.w1C*Molweight</f>
        <v>7.0437870695606959E-3</v>
      </c>
      <c r="AN26" s="326">
        <f>k.sd1C.w1C*M.sd1C*Molweight</f>
        <v>6.9833388341187944E-3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0.7113325569586707</v>
      </c>
      <c r="AT26" s="75"/>
      <c r="AU26" s="285">
        <f>output!AD15</f>
        <v>0.71081020815370921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519276.01205490559</v>
      </c>
      <c r="D27" s="122">
        <f>C27/$C$51</f>
        <v>1.3736207872427781E-2</v>
      </c>
      <c r="E27" s="318">
        <f>M.w2C*Molweight</f>
        <v>31897231.739610277</v>
      </c>
      <c r="F27" s="122">
        <f>E27/$E$51</f>
        <v>0.89412358727932928</v>
      </c>
      <c r="G27" s="318">
        <f>M.w2M*Molweight</f>
        <v>31292072.714543533</v>
      </c>
      <c r="H27" s="122">
        <f>G27/$G$51</f>
        <v>3.3054877809675212E-2</v>
      </c>
      <c r="I27" s="318">
        <f>M.w2A*Molweight</f>
        <v>24577345.645902853</v>
      </c>
      <c r="J27" s="122">
        <f>I27/$I$51</f>
        <v>3.9189012352804982E-2</v>
      </c>
      <c r="K27" s="318">
        <f>M.w2T*Molweight</f>
        <v>34279046.230505779</v>
      </c>
      <c r="L27" s="123">
        <f>K27/$K$51</f>
        <v>3.0042685192744556E-2</v>
      </c>
      <c r="M27" s="320">
        <f>C.w2R*Molweight</f>
        <v>5.1927601205490501E-5</v>
      </c>
      <c r="N27" s="320">
        <f>C.w2C*Molweight</f>
        <v>4.2948707171589286E-8</v>
      </c>
      <c r="O27" s="320">
        <f>C.w2M*Molweight</f>
        <v>8.0679635695998252E-9</v>
      </c>
      <c r="P27" s="320">
        <f>C.w2A*Molweight</f>
        <v>9.638174763099158E-9</v>
      </c>
      <c r="Q27" s="320">
        <f>C.w2T*Molweight</f>
        <v>3.8407894936140931E-9</v>
      </c>
      <c r="R27" s="120" t="s">
        <v>1489</v>
      </c>
      <c r="S27" s="325">
        <f>F.w2R</f>
        <v>4.0352314941084488E-11</v>
      </c>
      <c r="T27" s="325">
        <f>F.w2C</f>
        <v>3.3374924276631902E-14</v>
      </c>
      <c r="U27" s="325">
        <f>F.w2M</f>
        <v>6.2695175462729752E-15</v>
      </c>
      <c r="V27" s="325">
        <f>F.w2A</f>
        <v>2.1093596862331307E-16</v>
      </c>
      <c r="W27" s="326">
        <f>F.w2T</f>
        <v>1.9203947468070462E-14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1.218775749410664E-5</v>
      </c>
      <c r="AG27" s="326">
        <f>KDEG.sd2C*M.sd2C*Molweight</f>
        <v>3.5647473810108803E-6</v>
      </c>
      <c r="AH27" s="325"/>
      <c r="AI27" s="325"/>
      <c r="AJ27" s="325"/>
      <c r="AK27" s="325"/>
      <c r="AL27" s="325"/>
      <c r="AM27" s="325">
        <f>k.w2C.sd2C*M.w2C*Molweight</f>
        <v>4.6228393038819414E-3</v>
      </c>
      <c r="AN27" s="326">
        <f>k.sd2C.w2C*M.sd2C*Molweight</f>
        <v>4.6070867990068241E-3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2.7388052941287547E-3</v>
      </c>
      <c r="BB27" s="264">
        <f>IF(ISERROR(output!D15),0,output!D15)</f>
        <v>0.33658914433230036</v>
      </c>
      <c r="BC27" s="86"/>
      <c r="BD27" s="295">
        <f>output!AG18</f>
        <v>1.4894545655621896E-3</v>
      </c>
      <c r="BE27" s="75"/>
      <c r="BF27" s="295">
        <f>output!AG19</f>
        <v>3.6686924924289488E-2</v>
      </c>
      <c r="BG27" s="75"/>
      <c r="BH27" s="256">
        <f>output!AG20</f>
        <v>5.516498390971072E-4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519249.41056984174</v>
      </c>
      <c r="D28" s="122">
        <f>C28/$C$51</f>
        <v>1.3735504193613298E-2</v>
      </c>
      <c r="E28" s="318">
        <f>FRw.w2C*E27</f>
        <v>31895597.707392342</v>
      </c>
      <c r="F28" s="122">
        <f>E28/$E$51</f>
        <v>0.89407778309292341</v>
      </c>
      <c r="G28" s="318">
        <f>FRw.w2M*G27</f>
        <v>31290469.683427885</v>
      </c>
      <c r="H28" s="122">
        <f>G28/$G$51</f>
        <v>3.305318447353426E-2</v>
      </c>
      <c r="I28" s="318">
        <f>FRw.w2A*I27</f>
        <v>24576086.597000282</v>
      </c>
      <c r="J28" s="122">
        <f>I28/$I$51</f>
        <v>3.9187004777059969E-2</v>
      </c>
      <c r="K28" s="318">
        <f>FRw.w2T*K27</f>
        <v>34277290.182633094</v>
      </c>
      <c r="L28" s="123">
        <f>K28/$K$51</f>
        <v>3.0041146165285398E-2</v>
      </c>
      <c r="M28" s="320">
        <f>M27*FRw.w2R</f>
        <v>5.1924941056984115E-5</v>
      </c>
      <c r="N28" s="320">
        <f>N27*FRw.w2C</f>
        <v>4.2946506994100216E-8</v>
      </c>
      <c r="O28" s="320">
        <f>O27*FRw.w2M</f>
        <v>8.0675502637520493E-9</v>
      </c>
      <c r="P28" s="320">
        <f>P27*FRw.w2A</f>
        <v>9.6376810184314841E-9</v>
      </c>
      <c r="Q28" s="320">
        <f>Q27*FRw.w2T</f>
        <v>3.8405927375499271E-9</v>
      </c>
      <c r="R28" s="120" t="s">
        <v>1489</v>
      </c>
      <c r="S28" s="325">
        <f>S27*FRw.w2R</f>
        <v>4.0350247771644193E-11</v>
      </c>
      <c r="T28" s="325">
        <f>T27*FRw.w2C</f>
        <v>3.3373214545142211E-14</v>
      </c>
      <c r="U28" s="325">
        <f>U27*FRw.w2M</f>
        <v>6.2691963712649006E-15</v>
      </c>
      <c r="V28" s="325">
        <f>V27*FRw.w2A</f>
        <v>2.1092516279002115E-16</v>
      </c>
      <c r="W28" s="326">
        <f>W27*FRw.w2T</f>
        <v>1.9202963687749633E-14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9.2591562221650402E-5</v>
      </c>
      <c r="AG28" s="326">
        <f>KDEG.s1C*M.s1C*Molweight</f>
        <v>6.5293043008770929E-4</v>
      </c>
      <c r="AH28" s="325"/>
      <c r="AI28" s="325"/>
      <c r="AJ28" s="325">
        <f>k.aC.s1C*M.aC*Molweight</f>
        <v>1.4493421082120699E-2</v>
      </c>
      <c r="AK28" s="325">
        <f>k.s1C.aC*M.s1C*Molweight</f>
        <v>1.8973349227625456E-7</v>
      </c>
      <c r="AL28" s="325">
        <f>(k.s1C.w1C+k.s1C.w0C)*M.s1C*Molweight</f>
        <v>1.3747709356319063E-2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26.601485063844422</v>
      </c>
      <c r="D29" s="122">
        <f>C29/$C$51</f>
        <v>7.0367881448298808E-7</v>
      </c>
      <c r="E29" s="318">
        <f>(1-FRw.w2C)*E27</f>
        <v>1634.0322179363632</v>
      </c>
      <c r="F29" s="122">
        <f>E29/$E$51</f>
        <v>4.5804186405836063E-5</v>
      </c>
      <c r="G29" s="318">
        <f>(1-FRw.w2M)*G27</f>
        <v>1603.0311156461585</v>
      </c>
      <c r="H29" s="122">
        <f>G29/$G$51</f>
        <v>1.6933361409506126E-6</v>
      </c>
      <c r="I29" s="318">
        <f>(1-FRw.w2A)*I27</f>
        <v>1259.0489025695599</v>
      </c>
      <c r="J29" s="122">
        <f>I29/$I$51</f>
        <v>2.0075757450157917E-6</v>
      </c>
      <c r="K29" s="318">
        <f>(1-FRw.w2T)*K27</f>
        <v>1756.047872681658</v>
      </c>
      <c r="L29" s="123">
        <f>K29/$K$51</f>
        <v>1.5390274591541752E-6</v>
      </c>
      <c r="M29" s="320">
        <f>M28*Kp.susp2R</f>
        <v>3.9910185217104593E-4</v>
      </c>
      <c r="N29" s="320">
        <f>N28*Kp.susp2C</f>
        <v>3.3009243990883201E-7</v>
      </c>
      <c r="O29" s="320">
        <f>O28*Kp.susp2M</f>
        <v>6.2008240880099756E-8</v>
      </c>
      <c r="P29" s="320">
        <f>P28*Kp.susp2A</f>
        <v>7.4076470127689799E-8</v>
      </c>
      <c r="Q29" s="320">
        <f>Q28*Kp.susp2T</f>
        <v>2.9519295425077376E-8</v>
      </c>
      <c r="R29" s="120" t="s">
        <v>1494</v>
      </c>
      <c r="S29" s="325">
        <f>S27*(1-FRw.w2R)</f>
        <v>2.067169440292393E-15</v>
      </c>
      <c r="T29" s="325">
        <f>T27*(1-FRw.w2C)</f>
        <v>1.7097314896916291E-18</v>
      </c>
      <c r="U29" s="325">
        <f>U27*(1-FRw.w2M)</f>
        <v>3.2117500807462056E-19</v>
      </c>
      <c r="V29" s="325">
        <f>V27*(1-FRw.w2A)</f>
        <v>1.0805833291924368E-20</v>
      </c>
      <c r="W29" s="326">
        <f>W27*(1-FRw.w2T)</f>
        <v>9.8378032083006031E-19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1.9522667710293509E-4</v>
      </c>
      <c r="AG29" s="326">
        <f>KDEG.s2C*M.s2C*Molweight</f>
        <v>3.0253212698251025E-3</v>
      </c>
      <c r="AH29" s="325"/>
      <c r="AI29" s="325"/>
      <c r="AJ29" s="325">
        <f>k.aC.s2C*M.aC*Molweight</f>
        <v>3.2207602404712661E-2</v>
      </c>
      <c r="AK29" s="325">
        <f>k.s2C.aC*M.s2C*Molweight</f>
        <v>4.0004767544107147E-7</v>
      </c>
      <c r="AL29" s="325">
        <f>(k.s2C.w1C+k.s2C.w0C)*M.s2C*Molweight</f>
        <v>2.8986654410109176E-2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3.4293171193203831E-5</v>
      </c>
      <c r="AG30" s="326">
        <f>KDEG.s3C*M.s3C*Molweight</f>
        <v>2.4182608521766997E-4</v>
      </c>
      <c r="AH30" s="325"/>
      <c r="AI30" s="325"/>
      <c r="AJ30" s="325">
        <f>k.aC.s3C*M.aC*Molweight</f>
        <v>5.3679337341187754E-3</v>
      </c>
      <c r="AK30" s="325">
        <f>k.s3C.aC*M.s3C*Molweight</f>
        <v>7.0271663806020172E-8</v>
      </c>
      <c r="AL30" s="325">
        <f>(k.s3C.w1C+k.s3C.w0C)*M.s3C*Molweight</f>
        <v>5.0917442060440937E-3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0.25864099547831237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915230530.58863819</v>
      </c>
      <c r="H31" s="122">
        <f>G31/$G$51</f>
        <v>0.96678905332567244</v>
      </c>
      <c r="I31" s="318">
        <f>M.w3A*Molweight</f>
        <v>602542483.99457085</v>
      </c>
      <c r="J31" s="122">
        <f>I31/$I$51</f>
        <v>0.96076464841065656</v>
      </c>
      <c r="K31" s="318">
        <f>M.w3T*Molweight</f>
        <v>1106699132.661783</v>
      </c>
      <c r="L31" s="123">
        <f>K31/$K$51</f>
        <v>0.96992820109600875</v>
      </c>
      <c r="M31" s="320"/>
      <c r="N31" s="320"/>
      <c r="O31" s="320">
        <f>C.w3M*Molweight</f>
        <v>7.8657265115612813E-9</v>
      </c>
      <c r="P31" s="320">
        <f>C.w3A*Molweight</f>
        <v>7.8763723397983113E-9</v>
      </c>
      <c r="Q31" s="320">
        <f>C.w3T*Molweight</f>
        <v>4.1333300939749139E-9</v>
      </c>
      <c r="R31" s="120" t="s">
        <v>1489</v>
      </c>
      <c r="S31" s="325"/>
      <c r="T31" s="325"/>
      <c r="U31" s="325">
        <f>F.w3M</f>
        <v>6.1123615585269659E-15</v>
      </c>
      <c r="V31" s="325">
        <f>F.w3A</f>
        <v>1.7237809746863321E-16</v>
      </c>
      <c r="W31" s="326">
        <f>F.w3T</f>
        <v>2.0666650469874565E-14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2.1043114520556063E-3</v>
      </c>
      <c r="AY31" s="75"/>
      <c r="AZ31" s="75"/>
      <c r="BA31" s="87"/>
      <c r="BB31" s="2"/>
      <c r="BC31" s="86"/>
      <c r="BD31" s="277">
        <f>IF(ISERROR(output!D39),0,output!D39)</f>
        <v>1.473348175988968E-2</v>
      </c>
      <c r="BE31" s="75"/>
      <c r="BF31" s="277">
        <f>IF(ISERROR(output!D43),0,output!D43)</f>
        <v>0.36290206609588088</v>
      </c>
      <c r="BG31" s="75"/>
      <c r="BH31" s="273">
        <f>IF(ISERROR(output!D47),0,output!D47)</f>
        <v>5.456845096255436E-3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915183645.13519108</v>
      </c>
      <c r="H32" s="122">
        <f>G32/$G$51</f>
        <v>0.96673952663088036</v>
      </c>
      <c r="I32" s="318">
        <f>FRw.w3A*I31</f>
        <v>602511616.93251479</v>
      </c>
      <c r="J32" s="122">
        <f>I32/$I$51</f>
        <v>0.96071543033423623</v>
      </c>
      <c r="K32" s="318">
        <f>FRw.w3T*K31</f>
        <v>1106642438.6498044</v>
      </c>
      <c r="L32" s="123">
        <f>K32/$K$51</f>
        <v>0.96987851358887289</v>
      </c>
      <c r="M32" s="320"/>
      <c r="N32" s="320"/>
      <c r="O32" s="320">
        <f>O31*FRw.w3M</f>
        <v>7.8653235659187792E-9</v>
      </c>
      <c r="P32" s="320">
        <f>P31*FRw.w3A</f>
        <v>7.8759688487910421E-9</v>
      </c>
      <c r="Q32" s="320">
        <f>Q31*FRw.w3T</f>
        <v>4.1331183516332567E-9</v>
      </c>
      <c r="R32" s="120" t="s">
        <v>1489</v>
      </c>
      <c r="S32" s="325"/>
      <c r="T32" s="325"/>
      <c r="U32" s="325">
        <f>U31*FRw.w3M</f>
        <v>6.1120484343099225E-15</v>
      </c>
      <c r="V32" s="325">
        <f>V31*FRw.w3A</f>
        <v>1.7236926687896857E-16</v>
      </c>
      <c r="W32" s="326">
        <f>W31*FRw.w3T</f>
        <v>2.066559175816628E-14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2.0769037878647912E-2</v>
      </c>
      <c r="AE32" s="325">
        <f>(k.aM.aA+k.aM.aC+k.aM.aT)*M.aM*Molweight</f>
        <v>2.218725574363613E-3</v>
      </c>
      <c r="AF32" s="325">
        <f>kesc.aM*M.aM*Molweight</f>
        <v>6.9791944602600915E-7</v>
      </c>
      <c r="AG32" s="326">
        <f>KDEG.aM*M.aM*Molweight</f>
        <v>2.9442984212255615E-3</v>
      </c>
      <c r="AH32" s="325">
        <f>AH33</f>
        <v>8.4620174148718665E-3</v>
      </c>
      <c r="AI32" s="325">
        <f>AI33</f>
        <v>8.8635745512234415E-8</v>
      </c>
      <c r="AJ32" s="325">
        <f>AJ36</f>
        <v>7.1434806998498116E-3</v>
      </c>
      <c r="AK32" s="325">
        <f>AK36</f>
        <v>9.3515363454285958E-8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0.10083134313567427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46885.453447161723</v>
      </c>
      <c r="H33" s="122">
        <f>G33/$G$51</f>
        <v>4.9526694792155876E-5</v>
      </c>
      <c r="I33" s="318">
        <f>(1-FRw.w3A)*I31</f>
        <v>30867.062056042978</v>
      </c>
      <c r="J33" s="122">
        <f>I33/$I$51</f>
        <v>4.9218076420336302E-5</v>
      </c>
      <c r="K33" s="318">
        <f>(1-FRw.w3T)*K31</f>
        <v>56694.011978660739</v>
      </c>
      <c r="L33" s="123">
        <f>K33/$K$51</f>
        <v>4.9687507135855995E-5</v>
      </c>
      <c r="M33" s="320"/>
      <c r="N33" s="320"/>
      <c r="O33" s="320">
        <f>O32*Kp.susp3M</f>
        <v>6.0453900171746916E-8</v>
      </c>
      <c r="P33" s="320">
        <f>P32*Kp.susp3A</f>
        <v>6.0535721200807729E-8</v>
      </c>
      <c r="Q33" s="320">
        <f>Q32*Kp.susp3T</f>
        <v>3.1767685351221092E-8</v>
      </c>
      <c r="R33" s="120" t="s">
        <v>1494</v>
      </c>
      <c r="S33" s="325"/>
      <c r="T33" s="325"/>
      <c r="U33" s="325">
        <f>U31*(1-FRw.w3M)</f>
        <v>3.1312421704313126E-19</v>
      </c>
      <c r="V33" s="325">
        <f>V31*(1-FRw.w3A)</f>
        <v>8.8305896646366089E-21</v>
      </c>
      <c r="W33" s="326">
        <f>W31*(1-FRw.w3T)</f>
        <v>1.0587117082849811E-18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9.1868108953121226</v>
      </c>
      <c r="AE33" s="325">
        <f>(k.w2M.w2C+k.w2M.w2A+k.w2M.w2T+k.w2M.w3M)*M.w2M*Molweight</f>
        <v>9.1953135841524745</v>
      </c>
      <c r="AF33" s="330"/>
      <c r="AG33" s="326">
        <f>KDEG.w2M*M.w2M*Molweight</f>
        <v>6.7351761306212558E-3</v>
      </c>
      <c r="AH33" s="325">
        <f>k.aM.w2M*M.aM*Molweight</f>
        <v>8.4620174148718665E-3</v>
      </c>
      <c r="AI33" s="325">
        <f>k.w2M.aM*M.w2M*Molweight</f>
        <v>8.8635745512234415E-8</v>
      </c>
      <c r="AJ33" s="325"/>
      <c r="AK33" s="325"/>
      <c r="AL33" s="325">
        <f>AL36</f>
        <v>6.775936191846306E-3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1.1176681818110792E-4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8.9766825233086109</v>
      </c>
      <c r="AE34" s="325">
        <f>(k.w3M.w2M+k.w3M.w3A+k.w3M.w3T)*M.w3M*Molweight</f>
        <v>8.7796851994605145</v>
      </c>
      <c r="AF34" s="330"/>
      <c r="AG34" s="326">
        <f>KDEG.w3M*M.w3M*Molweight</f>
        <v>0.1969904288497798</v>
      </c>
      <c r="AH34" s="325"/>
      <c r="AI34" s="325"/>
      <c r="AJ34" s="325"/>
      <c r="AK34" s="325"/>
      <c r="AL34" s="325"/>
      <c r="AM34" s="325">
        <f>k.w3M.sdM*M.w3M*Molweight</f>
        <v>8.8429067104357946E-3</v>
      </c>
      <c r="AN34" s="326">
        <f>k.sdM.w3M*M.sdM*Molweight</f>
        <v>8.8360117121198817E-3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0.10171006999875758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4340.2381260772981</v>
      </c>
      <c r="D35" s="122">
        <f>C35/$C$51</f>
        <v>1.1481064353369444E-4</v>
      </c>
      <c r="E35" s="318">
        <f>M.sd2C*Molweight</f>
        <v>13330.250011427574</v>
      </c>
      <c r="F35" s="122">
        <f>E35/$E$51</f>
        <v>3.7366537186820991E-4</v>
      </c>
      <c r="G35" s="318">
        <f>M.sdM*Molweight</f>
        <v>25499.081739409321</v>
      </c>
      <c r="H35" s="122">
        <f>G35/$G$51</f>
        <v>2.6935544949163999E-5</v>
      </c>
      <c r="I35" s="318">
        <f>M.sdA*Molweight</f>
        <v>16797.467181193097</v>
      </c>
      <c r="J35" s="122">
        <f>I35/$I$51</f>
        <v>2.6783858531498905E-5</v>
      </c>
      <c r="K35" s="318">
        <f>M.sdT*Molweight</f>
        <v>30798.827208722363</v>
      </c>
      <c r="L35" s="123">
        <f>K35/$K$51</f>
        <v>2.6992567526979562E-5</v>
      </c>
      <c r="M35" s="320">
        <f>C.sd2R*(Molweight*1000)/(FRACw.sdR*1000+FRACs.sdR*RHOsolid)</f>
        <v>1.1128815707890497E-4</v>
      </c>
      <c r="N35" s="320">
        <f>C.sd2C*(Molweight*1000)/(FRACw.sdC*1000+FRACs.sdC*RHOsolid)</f>
        <v>9.2045123577600301E-8</v>
      </c>
      <c r="O35" s="320">
        <f>C.sdM*(Molweight*1000)/(FRACw.sdM*1000+FRACs.sdM*RHOsolid)</f>
        <v>1.6857358846489203E-8</v>
      </c>
      <c r="P35" s="320">
        <f>C.sdA*(Molweight*1000)/(FRACw.sdA*1000+FRACs.sdA*RHOsolid)</f>
        <v>1.6890364184206228E-8</v>
      </c>
      <c r="Q35" s="320">
        <f>C.sdT*(Molweight*1000)/(FRACw.sdT*1000+FRACs.sdT*RHOsolid)</f>
        <v>8.8483307358248536E-9</v>
      </c>
      <c r="R35" s="120" t="s">
        <v>1495</v>
      </c>
      <c r="S35" s="325">
        <f>F.sd2R</f>
        <v>4.1309407676022866E-11</v>
      </c>
      <c r="T35" s="325">
        <f>F.sd2C</f>
        <v>3.4166524401703292E-14</v>
      </c>
      <c r="U35" s="325">
        <f>F.sdM</f>
        <v>6.2573370537252944E-15</v>
      </c>
      <c r="V35" s="325">
        <f>F.sdA</f>
        <v>1.7657315705128019E-16</v>
      </c>
      <c r="W35" s="326">
        <f>F.sdT</f>
        <v>2.1133001085862899E-14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7.6087584994445717E-8</v>
      </c>
      <c r="AG35" s="326">
        <f>KDEG.sdM*M.sdM*Molweight</f>
        <v>6.8189107309178845E-6</v>
      </c>
      <c r="AH35" s="325"/>
      <c r="AI35" s="325"/>
      <c r="AJ35" s="325"/>
      <c r="AK35" s="325"/>
      <c r="AL35" s="325"/>
      <c r="AM35" s="325">
        <f>k.w3M.sdM*M.w3M*Molweight</f>
        <v>8.8429067104357946E-3</v>
      </c>
      <c r="AN35" s="326">
        <f>k.sdM.w3M*M.sdM*Molweight</f>
        <v>8.8360117121198817E-3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7.429755783042127E-5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3472.1905008618387</v>
      </c>
      <c r="D36" s="122">
        <f>C36/$C$51</f>
        <v>9.1848514826955554E-5</v>
      </c>
      <c r="E36" s="318">
        <f>E35*FRACw.sdC</f>
        <v>10664.20000914206</v>
      </c>
      <c r="F36" s="122">
        <f>E36/$E$51</f>
        <v>2.9893229749456795E-4</v>
      </c>
      <c r="G36" s="318">
        <f>G35*FRACw.sdM</f>
        <v>20399.265391527457</v>
      </c>
      <c r="H36" s="122">
        <f>G36/$G$51</f>
        <v>2.1548435959331197E-5</v>
      </c>
      <c r="I36" s="318">
        <f>I35*FRACw.sdA</f>
        <v>13437.973744954477</v>
      </c>
      <c r="J36" s="122">
        <f>I36/$I$51</f>
        <v>2.1427086825199123E-5</v>
      </c>
      <c r="K36" s="318">
        <f>K35*FRACw.sdT</f>
        <v>24639.061766977891</v>
      </c>
      <c r="L36" s="123">
        <f>K36/$K$51</f>
        <v>2.1594054021583651E-5</v>
      </c>
      <c r="M36" s="320">
        <f>M37/Kp.sd2R</f>
        <v>5.3159241321531291E-5</v>
      </c>
      <c r="N36" s="320">
        <f>N37/Kp.sd2C</f>
        <v>4.3967382200988195E-8</v>
      </c>
      <c r="O36" s="320">
        <f>O37/Kp.sdM</f>
        <v>8.0522890349312229E-9</v>
      </c>
      <c r="P36" s="320">
        <f>P37/Kp.sdA</f>
        <v>8.0680547620189144E-9</v>
      </c>
      <c r="Q36" s="320">
        <f>Q37/Kp.sdT</f>
        <v>4.2266002171725809E-9</v>
      </c>
      <c r="R36" s="120" t="s">
        <v>1489</v>
      </c>
      <c r="S36" s="325">
        <f>S35*FRACw.sdR</f>
        <v>3.3047526140818295E-11</v>
      </c>
      <c r="T36" s="325">
        <f>T35*FRACw.sdC</f>
        <v>2.7333219521362634E-14</v>
      </c>
      <c r="U36" s="325">
        <f>U35*FRACw.sdM</f>
        <v>5.0058696429802355E-15</v>
      </c>
      <c r="V36" s="325">
        <f>V35*FRACw.sdA</f>
        <v>1.4125852564102415E-16</v>
      </c>
      <c r="W36" s="326">
        <f>W35*FRACw.sdT</f>
        <v>1.6906400868690321E-14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4.5636294836920708E-5</v>
      </c>
      <c r="AG36" s="326">
        <f>KDEG.sM*M.sM*Molweight</f>
        <v>3.2181469780313013E-4</v>
      </c>
      <c r="AH36" s="325"/>
      <c r="AI36" s="325"/>
      <c r="AJ36" s="325">
        <f>k.aM.sM*M.aM*Molweight</f>
        <v>7.1434806998498116E-3</v>
      </c>
      <c r="AK36" s="325">
        <f>k.sM.aM*M.sM*Molweight</f>
        <v>9.3515363454285958E-8</v>
      </c>
      <c r="AL36" s="325">
        <f>k.sM.w2M*M.sM*Molweight</f>
        <v>6.775936191846306E-3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868.04762521545945</v>
      </c>
      <c r="D37" s="122">
        <f>C37/$C$51</f>
        <v>2.2962128706738882E-5</v>
      </c>
      <c r="E37" s="318">
        <f>E35*FRACs.sdC</f>
        <v>2666.050002285514</v>
      </c>
      <c r="F37" s="122">
        <f>E37/$E$51</f>
        <v>7.4733074373641961E-5</v>
      </c>
      <c r="G37" s="318">
        <f>G35*FRACs.sdM</f>
        <v>5099.8163478818633</v>
      </c>
      <c r="H37" s="122">
        <f>G37/$G$51</f>
        <v>5.3871089898327985E-6</v>
      </c>
      <c r="I37" s="318">
        <f>I35*FRACs.sdA</f>
        <v>3359.4934362386184</v>
      </c>
      <c r="J37" s="122">
        <f>I37/$I$51</f>
        <v>5.3567717062997791E-6</v>
      </c>
      <c r="K37" s="318">
        <f>K35*FRACs.sdT</f>
        <v>6159.765441744471</v>
      </c>
      <c r="L37" s="123">
        <f>K37/$K$51</f>
        <v>5.3985135053959111E-6</v>
      </c>
      <c r="M37" s="320">
        <f>C.sd2R*FRACs.sdR/(FRACw.sdR/(Kp.sd2R*RHOsolid/1000)+FRACs.sdR)*(Molweight*1000)/(FRACs.sdR*RHOsolid)</f>
        <v>2.0429442229070289E-4</v>
      </c>
      <c r="N37" s="320">
        <f>C.sd2C*FRACs.sdC/(FRACw.sdC/(Kp.sd2C*RHOsolid/1000)+FRACs.sdC)*(Molweight*1000)/(FRACs.sdC*RHOsolid)</f>
        <v>1.6896950978017974E-7</v>
      </c>
      <c r="O37" s="320">
        <f>C.sdM*FRACs.sdM/(FRACw.sdM/(Kp.sdM*RHOsolid/1000)+FRACs.sdM)*(Molweight*1000)/(FRACs.sdM*RHOsolid)</f>
        <v>3.0945470544981979E-8</v>
      </c>
      <c r="P37" s="320">
        <f>C.sdA*FRACs.sdA/(FRACw.sdA/(Kp.sdA*RHOsolid/1000)+FRACs.sdA)*(Molweight*1000)/(FRACs.sdA*RHOsolid)</f>
        <v>3.1006059259705948E-8</v>
      </c>
      <c r="Q37" s="320">
        <f>C.sdT*FRACs.sdT/(FRACw.sdT/(Kp.sdT*RHOsolid/1000)+FRACs.sdT)*(Molweight*1000)/(FRACs.sdT*RHOsolid)</f>
        <v>1.6243099565668498E-8</v>
      </c>
      <c r="R37" s="120" t="s">
        <v>1494</v>
      </c>
      <c r="S37" s="325">
        <f>S35*(1-FRACw.sdR)</f>
        <v>8.2618815352045706E-12</v>
      </c>
      <c r="T37" s="325">
        <f>T35*(1-FRACw.sdC)</f>
        <v>6.8333048803406569E-15</v>
      </c>
      <c r="U37" s="325">
        <f>U35*(1-FRACw.sdM)</f>
        <v>1.2514674107450587E-15</v>
      </c>
      <c r="V37" s="325">
        <f>V35*(1-FRACw.sdA)</f>
        <v>3.5314631410256032E-17</v>
      </c>
      <c r="W37" s="326">
        <f>W35*(1-FRACw.sdT)</f>
        <v>4.2266002171725786E-15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1.3736207872427781E-2</v>
      </c>
      <c r="AW37" s="75"/>
      <c r="AX37" s="75"/>
      <c r="AY37" s="300">
        <f>IF(ISERROR(output!D23),0,output!D23)</f>
        <v>7.3494132577698601E-3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7.2268129349425632E-4</v>
      </c>
      <c r="AE38" s="325">
        <f>k.aA.aM*M.aA*Molweight</f>
        <v>5.5447039028383213E-5</v>
      </c>
      <c r="AF38" s="325">
        <f>kesc.aA*M.aA*Molweight</f>
        <v>2.9337653647473629E-8</v>
      </c>
      <c r="AG38" s="326">
        <f>KDEG.aA*M.aA*Molweight</f>
        <v>1.9694601090329215E-5</v>
      </c>
      <c r="AH38" s="325">
        <f>AH39</f>
        <v>3.9356971085026876E-4</v>
      </c>
      <c r="AI38" s="325">
        <f>AI39</f>
        <v>2.1246350244405665E-9</v>
      </c>
      <c r="AJ38" s="325">
        <f>AJ42</f>
        <v>2.5394301849251201E-4</v>
      </c>
      <c r="AK38" s="325">
        <f>AK42</f>
        <v>2.8898585968076E-10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556976.40302286635</v>
      </c>
      <c r="D39" s="122">
        <f>C39/$C$51</f>
        <v>1.473348175988968E-2</v>
      </c>
      <c r="E39" s="318">
        <f>M.s1C*Molweight</f>
        <v>244161.08472376302</v>
      </c>
      <c r="F39" s="122">
        <f>E39/$E$51</f>
        <v>6.8441733981611831E-3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1.0617808248992361E-4</v>
      </c>
      <c r="N39" s="320">
        <f>C.s1C*(Molweight*1000)/(FRACw.s1C*1000+(1-FRACa.s1C-FRACw.s1C)*RHOsolid)</f>
        <v>3.0520124908426643E-6</v>
      </c>
      <c r="O39" s="320"/>
      <c r="P39" s="320"/>
      <c r="Q39" s="320"/>
      <c r="R39" s="120" t="s">
        <v>1495</v>
      </c>
      <c r="S39" s="325">
        <f>F.s1R</f>
        <v>5.5975866338455457E-11</v>
      </c>
      <c r="T39" s="325">
        <f>F.s1C</f>
        <v>1.6089859530748097E-12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6.6182390788519969</v>
      </c>
      <c r="AE39" s="325">
        <f>(k.w2A.w2M+k.w2A.w3A)*M.w2A*Molweight</f>
        <v>6.6177265608249014</v>
      </c>
      <c r="AF39" s="330"/>
      <c r="AG39" s="326">
        <f>KDEG.w2A*M.w2A*Molweight</f>
        <v>1.1512870335645456E-3</v>
      </c>
      <c r="AH39" s="325">
        <f>k.aA.w2A*M.aA*Molweight</f>
        <v>3.9356971085026876E-4</v>
      </c>
      <c r="AI39" s="325">
        <f>k.w2A.aA*M.w2A*Molweight</f>
        <v>2.1246350244405665E-9</v>
      </c>
      <c r="AJ39" s="325"/>
      <c r="AK39" s="325"/>
      <c r="AL39" s="325">
        <f>AL42</f>
        <v>2.4520142025529911E-4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44454.284305094334</v>
      </c>
      <c r="D40" s="122">
        <f>C40/$C$51</f>
        <v>1.1759320204650899E-3</v>
      </c>
      <c r="E40" s="318">
        <f>E39*FRw.s1C</f>
        <v>19487.371848506806</v>
      </c>
      <c r="F40" s="122">
        <f>E40/$E$51</f>
        <v>5.4625802533815767E-4</v>
      </c>
      <c r="G40" s="318"/>
      <c r="H40" s="122"/>
      <c r="I40" s="318"/>
      <c r="J40" s="122"/>
      <c r="K40" s="318"/>
      <c r="L40" s="123"/>
      <c r="M40" s="320">
        <f>M41/Kp.s1R</f>
        <v>7.2032855329341253E-5</v>
      </c>
      <c r="N40" s="320">
        <f>N41/Kp.s1C</f>
        <v>2.0705325342174609E-6</v>
      </c>
      <c r="O40" s="320"/>
      <c r="P40" s="320"/>
      <c r="Q40" s="320"/>
      <c r="R40" s="120" t="s">
        <v>1489</v>
      </c>
      <c r="S40" s="325">
        <f>S39*FRACw.s1R</f>
        <v>1.1195173267691092E-11</v>
      </c>
      <c r="T40" s="325">
        <f>T39*FRACw.s1C</f>
        <v>3.2179719061496195E-13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6.6177265608249014</v>
      </c>
      <c r="AE40" s="325">
        <f>(k.w3A.w2A+k.w3A.w3M)*M.w3A*Molweight</f>
        <v>6.58950039438177</v>
      </c>
      <c r="AF40" s="330"/>
      <c r="AG40" s="326">
        <f>KDEG.w3A*M.w3A*Molweight</f>
        <v>2.8225153317578244E-2</v>
      </c>
      <c r="AH40" s="325"/>
      <c r="AI40" s="325"/>
      <c r="AJ40" s="325"/>
      <c r="AK40" s="325"/>
      <c r="AL40" s="325"/>
      <c r="AM40" s="325">
        <f>k.w3A.sdA*M.w3A*Molweight</f>
        <v>5.8217321177117523E-3</v>
      </c>
      <c r="AN40" s="326">
        <f>k.sdA.w3A*M.sdA*Molweight</f>
        <v>5.8207189921579252E-3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1.494831795638616E-3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512522.11871452094</v>
      </c>
      <c r="D41" s="122">
        <f>C41/$C$51</f>
        <v>1.3557549739338591E-2</v>
      </c>
      <c r="E41" s="318">
        <f>E39*FRs.s1C</f>
        <v>224673.71287383104</v>
      </c>
      <c r="F41" s="122">
        <f>E41/$E$51</f>
        <v>6.2979153727830764E-3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1.1073077944396551E-4</v>
      </c>
      <c r="N41" s="320">
        <f>C.s1C*FRs.s1C*(Molweight*1000)/(FRACs.s1C*RHOsolid)</f>
        <v>3.1828764850391687E-6</v>
      </c>
      <c r="O41" s="320"/>
      <c r="P41" s="320"/>
      <c r="Q41" s="320"/>
      <c r="R41" s="120" t="s">
        <v>1494</v>
      </c>
      <c r="S41" s="325">
        <f>S39*(1-FRACw.s1R)</f>
        <v>4.478069307076437E-11</v>
      </c>
      <c r="T41" s="325">
        <f>T39*(1-FRACw.s1C)</f>
        <v>1.2871887624598478E-12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3.5509612677982655E-8</v>
      </c>
      <c r="AG41" s="326">
        <f>KDEG.sdA*M.sdA*Molweight</f>
        <v>9.7761594114962994E-7</v>
      </c>
      <c r="AH41" s="325"/>
      <c r="AI41" s="325"/>
      <c r="AJ41" s="325"/>
      <c r="AK41" s="325"/>
      <c r="AL41" s="325"/>
      <c r="AM41" s="325">
        <f>k.w3A.sdA*M.w3A*Molweight</f>
        <v>5.8217321177117523E-3</v>
      </c>
      <c r="AN41" s="326">
        <f>k.sdA.w3A*M.sdA*Molweight</f>
        <v>5.8207189921579252E-3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1.6501693455806421E-6</v>
      </c>
      <c r="AG42" s="326">
        <f>KDEG.sA*M.sA*Molweight</f>
        <v>7.0911399057725914E-6</v>
      </c>
      <c r="AH42" s="325"/>
      <c r="AI42" s="325"/>
      <c r="AJ42" s="325">
        <f>k.aA.sA*M.aA*Molweight</f>
        <v>2.5394301849251201E-4</v>
      </c>
      <c r="AK42" s="325">
        <f>k.sA.aA*M.sA*Molweight</f>
        <v>2.8898585968076E-10</v>
      </c>
      <c r="AL42" s="325">
        <f>k.sA.w2A*M.sA*Molweight</f>
        <v>2.4520142025529911E-4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1.505164822883041E-3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13718949.174248932</v>
      </c>
      <c r="D43" s="122">
        <f>C43/$C$51</f>
        <v>0.36290206609588088</v>
      </c>
      <c r="E43" s="318">
        <f>M.s2C*Molweight</f>
        <v>1131308.465404412</v>
      </c>
      <c r="F43" s="122">
        <f>E43/$E$51</f>
        <v>3.1712143287680322E-2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2.9421949885882406E-4</v>
      </c>
      <c r="N43" s="320">
        <f>C.s2C*(Molweight*1000)/(FRACw.s2C*1000+(1-FRACa.s2C-FRACw.s2C)*RHOsolid)</f>
        <v>1.5909019726592636E-6</v>
      </c>
      <c r="O43" s="320"/>
      <c r="P43" s="320"/>
      <c r="Q43" s="320"/>
      <c r="R43" s="120" t="s">
        <v>1495</v>
      </c>
      <c r="S43" s="325">
        <f>F.s2R</f>
        <v>1.5510914264110797E-10</v>
      </c>
      <c r="T43" s="325">
        <f>F.s2C</f>
        <v>8.3870525904073629E-13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1.1481064353369444E-4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1094958.5362131824</v>
      </c>
      <c r="D44" s="122">
        <f>C44/$C$51</f>
        <v>2.8964515432927801E-2</v>
      </c>
      <c r="E44" s="318">
        <f>E43*FRw.s2C</f>
        <v>90293.78602917766</v>
      </c>
      <c r="F44" s="122">
        <f>E44/$E$51</f>
        <v>2.5310598904789761E-3</v>
      </c>
      <c r="G44" s="318"/>
      <c r="H44" s="122"/>
      <c r="I44" s="318"/>
      <c r="J44" s="122"/>
      <c r="K44" s="318"/>
      <c r="L44" s="123"/>
      <c r="M44" s="320">
        <f>M45/Kp.s2R</f>
        <v>1.9960306401634479E-4</v>
      </c>
      <c r="N44" s="320">
        <f>N45/Kp.s2C</f>
        <v>1.0792925333776275E-6</v>
      </c>
      <c r="O44" s="320"/>
      <c r="P44" s="320"/>
      <c r="Q44" s="320"/>
      <c r="R44" s="120" t="s">
        <v>1489</v>
      </c>
      <c r="S44" s="325">
        <f>S43*FRACw.s2R</f>
        <v>3.1021828528221592E-11</v>
      </c>
      <c r="T44" s="325">
        <f>T43*FRACw.s2C</f>
        <v>1.6774105180814727E-13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1.2517207180116475E-3</v>
      </c>
      <c r="AE44" s="325">
        <f>k.aT.aM*M.aT*Molweight</f>
        <v>4.582609696401351E-5</v>
      </c>
      <c r="AF44" s="325">
        <f>kesc.aT*M.aT*Molweight</f>
        <v>4.1997217280577462E-8</v>
      </c>
      <c r="AG44" s="326">
        <f>KDEG.aT*M.aT*Molweight</f>
        <v>2.2179886839558268E-4</v>
      </c>
      <c r="AH44" s="325">
        <f>AH45</f>
        <v>7.2680106406163535E-4</v>
      </c>
      <c r="AI44" s="325">
        <f>AI45</f>
        <v>5.9749128073414995E-7</v>
      </c>
      <c r="AJ44" s="325">
        <f>AJ48</f>
        <v>2.5786120582078778E-4</v>
      </c>
      <c r="AK44" s="325">
        <f>AK48</f>
        <v>1.1023166917037372E-8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1.1606573379819675E-6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12623990.637955671</v>
      </c>
      <c r="D45" s="122">
        <f>C45/$C$51</f>
        <v>0.3339375506608348</v>
      </c>
      <c r="E45" s="318">
        <f>E43*FRs.s2C</f>
        <v>1041014.6793686309</v>
      </c>
      <c r="F45" s="122">
        <f>E45/$E$51</f>
        <v>2.9181083397016243E-2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3.0683502350254164E-4</v>
      </c>
      <c r="N45" s="320">
        <f>C.s2C*FRs.s2C*(Molweight*1000)/(FRACs.s2C*RHOsolid)</f>
        <v>1.6591165645529576E-6</v>
      </c>
      <c r="O45" s="320"/>
      <c r="P45" s="320"/>
      <c r="Q45" s="320"/>
      <c r="R45" s="120" t="s">
        <v>1494</v>
      </c>
      <c r="S45" s="325">
        <f>S43*(1-FRACw.s2R)</f>
        <v>1.2408731411288637E-10</v>
      </c>
      <c r="T45" s="325">
        <f>T43*(1-FRACw.s2C)</f>
        <v>6.7096420723258909E-13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8.3830405681210891</v>
      </c>
      <c r="AE45" s="325">
        <f>(k.w2T.w2M+k.w2T.w3T)*M.w2T*Molweight</f>
        <v>8.3658408528202912</v>
      </c>
      <c r="AF45" s="330"/>
      <c r="AG45" s="326">
        <f>KDEG.w2T*M.w2T*Molweight</f>
        <v>1.8166963796795541E-2</v>
      </c>
      <c r="AH45" s="325">
        <f>k.aT.w2T*M.aT*Molweight</f>
        <v>7.2680106406163535E-4</v>
      </c>
      <c r="AI45" s="325">
        <f>k.w2T.aT*M.w2T*Molweight</f>
        <v>5.9749128073414995E-7</v>
      </c>
      <c r="AJ45" s="325"/>
      <c r="AK45" s="325"/>
      <c r="AL45" s="325">
        <f>AL48</f>
        <v>2.4104492321808287E-4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8.9695814055123702</v>
      </c>
      <c r="AE46" s="325">
        <f>(k.w3T.w2T+k.w3T.w3M)*M.w3T*Molweight</f>
        <v>8.3830405681210891</v>
      </c>
      <c r="AF46" s="330"/>
      <c r="AG46" s="326">
        <f>KDEG.w3T*M.w3T*Molweight</f>
        <v>0.58652049248439631</v>
      </c>
      <c r="AH46" s="325"/>
      <c r="AI46" s="325"/>
      <c r="AJ46" s="325"/>
      <c r="AK46" s="325"/>
      <c r="AL46" s="325"/>
      <c r="AM46" s="325">
        <f>k.w3T.sdT*M.w3T*Molweight</f>
        <v>1.0692865742092461E-2</v>
      </c>
      <c r="AN46" s="326">
        <f>k.sdT.w3T*M.sdT*Molweight</f>
        <v>1.0672520835207679E-2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206287.55667513565</v>
      </c>
      <c r="D47" s="122">
        <f>C47/$C$51</f>
        <v>5.456845096255436E-3</v>
      </c>
      <c r="E47" s="318">
        <f>M.s3C*Molweight</f>
        <v>90430.031379171429</v>
      </c>
      <c r="F47" s="122">
        <f>E47/$E$51</f>
        <v>2.5348790363559923E-3</v>
      </c>
      <c r="G47" s="318">
        <f>M.sM*Molweight</f>
        <v>120341.49746261202</v>
      </c>
      <c r="H47" s="122">
        <f>G47/$G$51</f>
        <v>1.2712080565411681E-4</v>
      </c>
      <c r="I47" s="318">
        <f>M.sA*Molweight</f>
        <v>12184.047418906894</v>
      </c>
      <c r="J47" s="122">
        <f>I47/$I$51</f>
        <v>1.942767911905499E-5</v>
      </c>
      <c r="K47" s="318">
        <f>M.sT*Molweight</f>
        <v>2305.6047435068244</v>
      </c>
      <c r="L47" s="123">
        <f>K47/$K$51</f>
        <v>2.020667582823003E-6</v>
      </c>
      <c r="M47" s="320">
        <f>C.s3R*(Molweight*1000)/(FRACw.s3R*1000+(1-FRACa.s3R-FRACw.s3R)*RHOsolid)</f>
        <v>1.0617808248992361E-4</v>
      </c>
      <c r="N47" s="320">
        <f>C.s3C*(Molweight*1000)/(FRACw.s3C*1000+(1-FRACa.s3C-FRACw.s3C)*RHOsolid)</f>
        <v>3.0520124908426635E-6</v>
      </c>
      <c r="O47" s="320">
        <f>C.sM*(Molweight*1000)/(FRACw.sM*1000+(1-FRACa.sM-FRACw.sM)*RHOsolid)</f>
        <v>3.6502791967056651E-8</v>
      </c>
      <c r="P47" s="320">
        <f>C.sA*(Molweight*1000)/(FRACw.sA*1000+(1-FRACa.sA-FRACw.sA)*RHOsolid)</f>
        <v>8.431866725887123E-9</v>
      </c>
      <c r="Q47" s="320">
        <f>C.sT*(Molweight*1000)/(FRACw.sT*1000+(1-FRACa.sT-FRACw.sT)*RHOsolid)</f>
        <v>7.0914409642655076E-10</v>
      </c>
      <c r="R47" s="120" t="s">
        <v>1495</v>
      </c>
      <c r="S47" s="325">
        <f>F.s3R</f>
        <v>5.5975866338455457E-11</v>
      </c>
      <c r="T47" s="325">
        <f>F.s3C</f>
        <v>1.6089859530748091E-12</v>
      </c>
      <c r="U47" s="325">
        <f>F.sM</f>
        <v>1.9243852932852853E-14</v>
      </c>
      <c r="V47" s="325">
        <f>F.sA</f>
        <v>1.2519164051014347E-16</v>
      </c>
      <c r="W47" s="326">
        <f>F.sT</f>
        <v>2.4054716805071896E-15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6.5108293608833314E-8</v>
      </c>
      <c r="AG47" s="326">
        <f>KDEG.sdT*M.sdT*Molweight</f>
        <v>2.0279798591172374E-5</v>
      </c>
      <c r="AH47" s="325"/>
      <c r="AI47" s="325"/>
      <c r="AJ47" s="325"/>
      <c r="AK47" s="325"/>
      <c r="AL47" s="325"/>
      <c r="AM47" s="325">
        <f>k.w3T.sdT*M.w3T*Molweight</f>
        <v>1.0692865742092461E-2</v>
      </c>
      <c r="AN47" s="326">
        <f>k.sdT.w3T*M.sdT*Molweight</f>
        <v>1.0672520835207679E-2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9.1723699064433543E-6</v>
      </c>
      <c r="AW47" s="75"/>
      <c r="AX47" s="290">
        <f>output!AF16</f>
        <v>8.0442930525289485E-4</v>
      </c>
      <c r="AY47" s="75"/>
      <c r="AZ47" s="75"/>
      <c r="BA47" s="75"/>
      <c r="BB47" s="75"/>
      <c r="BC47" s="2"/>
      <c r="BD47" s="295">
        <f>output!AF18</f>
        <v>2.1121840663031581E-4</v>
      </c>
      <c r="BE47" s="75"/>
      <c r="BF47" s="295">
        <f>output!AF20</f>
        <v>7.8229039492709544E-5</v>
      </c>
      <c r="BG47" s="75"/>
      <c r="BH47" s="299">
        <f>output!AF19</f>
        <v>2.3674399534129296E-3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16464.549742627529</v>
      </c>
      <c r="D48" s="122">
        <f>C48/$C$51</f>
        <v>4.3553037795003325E-4</v>
      </c>
      <c r="E48" s="318">
        <f>E47*FRw.s3C</f>
        <v>7217.5451290765905</v>
      </c>
      <c r="F48" s="122">
        <f>E48/$E$51</f>
        <v>2.0231778716228052E-4</v>
      </c>
      <c r="G48" s="318">
        <f>G47*FRw.sM</f>
        <v>9604.8865138082256</v>
      </c>
      <c r="H48" s="122">
        <f>G48/$G$51</f>
        <v>1.014596741436594E-5</v>
      </c>
      <c r="I48" s="318">
        <f>I47*FRw.sA</f>
        <v>972.45252224386695</v>
      </c>
      <c r="J48" s="122">
        <f>I48/$I$51</f>
        <v>1.5505927473125754E-6</v>
      </c>
      <c r="K48" s="318">
        <f>K47*FRw.sT</f>
        <v>184.01858355880015</v>
      </c>
      <c r="L48" s="123">
        <f>K48/$K$51</f>
        <v>1.612767268463823E-7</v>
      </c>
      <c r="M48" s="320">
        <f>M49/Kp.s3R</f>
        <v>7.2032855329341253E-5</v>
      </c>
      <c r="N48" s="320">
        <f>N49/Kp.s3C</f>
        <v>2.07053253421746E-6</v>
      </c>
      <c r="O48" s="320">
        <f>O49/Kp.sM</f>
        <v>2.4764059316380711E-8</v>
      </c>
      <c r="P48" s="320">
        <f>P49/Kp.sA</f>
        <v>5.720308954375688E-9</v>
      </c>
      <c r="Q48" s="320">
        <f>Q49/Kp.sT</f>
        <v>4.8109433610143795E-10</v>
      </c>
      <c r="R48" s="120" t="s">
        <v>1489</v>
      </c>
      <c r="S48" s="325">
        <f>S47*FRACw.s3R</f>
        <v>1.1195173267691092E-11</v>
      </c>
      <c r="T48" s="325">
        <f>T47*FRACw.s3C</f>
        <v>3.2179719061496185E-13</v>
      </c>
      <c r="U48" s="325">
        <f>U47*FRACw.sM</f>
        <v>3.8487705865705711E-15</v>
      </c>
      <c r="V48" s="325">
        <f>V47*FRACw.sA</f>
        <v>2.5038328102028695E-17</v>
      </c>
      <c r="W48" s="326">
        <f>W47*FRACw.sT</f>
        <v>4.8109433610143797E-16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1.6237723251590322E-6</v>
      </c>
      <c r="AG48" s="326">
        <f>KDEG.sT*M.sT*Molweight</f>
        <v>1.518148711062874E-5</v>
      </c>
      <c r="AH48" s="325"/>
      <c r="AI48" s="325"/>
      <c r="AJ48" s="325">
        <f>k.aT.sT*M.aT*Molweight</f>
        <v>2.5786120582078778E-4</v>
      </c>
      <c r="AK48" s="325">
        <f>k.sT.aT*M.sT*Molweight</f>
        <v>1.1023166917037372E-8</v>
      </c>
      <c r="AL48" s="333">
        <f>k.sT.w2T*M.sT*Molweight</f>
        <v>2.4104492321808287E-4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189823.00693130403</v>
      </c>
      <c r="D49" s="122">
        <f>C49/$C$51</f>
        <v>5.0213147182735516E-3</v>
      </c>
      <c r="E49" s="318">
        <f>E47*FRs.s3C</f>
        <v>83212.486249566995</v>
      </c>
      <c r="F49" s="122">
        <f>E49/$E$51</f>
        <v>2.3325612491789153E-3</v>
      </c>
      <c r="G49" s="318">
        <f>G47*FRs.sM</f>
        <v>110736.61094810137</v>
      </c>
      <c r="H49" s="122">
        <f>G49/$G$51</f>
        <v>1.1697483823900888E-4</v>
      </c>
      <c r="I49" s="318">
        <f>I47*FRs.sA</f>
        <v>11211.594896660856</v>
      </c>
      <c r="J49" s="122">
        <f>I49/$I$51</f>
        <v>1.7877086371738953E-5</v>
      </c>
      <c r="K49" s="318">
        <f>K47*FRs.sT</f>
        <v>2121.5861598652091</v>
      </c>
      <c r="L49" s="123">
        <f>K49/$K$51</f>
        <v>1.8593908559040401E-6</v>
      </c>
      <c r="M49" s="320">
        <f>C.s3R*FRs.s3R*(Molweight*1000)/(FRACs.s3R*RHOsolid)</f>
        <v>1.1073077944396551E-4</v>
      </c>
      <c r="N49" s="320">
        <f>C.s3C*FRs.s3C*(Molweight*1000)/(FRACs.s3C*RHOsolid)</f>
        <v>3.1828764850391674E-6</v>
      </c>
      <c r="O49" s="320">
        <f>C.sM*FRs.sM*(Molweight*1000)/(FRACs.sM*RHOsolid)</f>
        <v>3.8067956320238639E-8</v>
      </c>
      <c r="P49" s="320">
        <f>C.sA*FRs.sA*(Molweight*1000)/(FRACs.sA*RHOsolid)</f>
        <v>8.7934077620869449E-9</v>
      </c>
      <c r="Q49" s="320">
        <f>C.sT*FRs.sT*(Molweight*1000)/(FRACs.sT*RHOsolid)</f>
        <v>7.3955073110769776E-10</v>
      </c>
      <c r="R49" s="120" t="s">
        <v>1494</v>
      </c>
      <c r="S49" s="325">
        <f>S47*(1-FRACw.s3R)</f>
        <v>4.478069307076437E-11</v>
      </c>
      <c r="T49" s="325">
        <f>T47*(1-FRACw.s3C)</f>
        <v>1.2871887624598474E-12</v>
      </c>
      <c r="U49" s="325">
        <f>U47*(1-FRACw.sM)</f>
        <v>1.5395082346282284E-14</v>
      </c>
      <c r="V49" s="325">
        <f>V47*(1-FRACw.sA)</f>
        <v>1.0015331240811478E-16</v>
      </c>
      <c r="W49" s="326">
        <f>W47*(1-FRACw.sT)</f>
        <v>1.9243773444057519E-15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3.9220327109772265E-3</v>
      </c>
      <c r="AG49" s="336">
        <f>SUM(AG11:AG48)</f>
        <v>0.9473717268019588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37803447.41995573</v>
      </c>
      <c r="D51" s="130">
        <f>C51/SUM($C$51,$E$51,$G$51,$I$51,$K$51)</f>
        <v>1.3557843039998334E-2</v>
      </c>
      <c r="E51" s="317">
        <f>SUM(E11,E15,E19,E23,E27,E31,E35,E39,E43,E47)</f>
        <v>35674298.490064777</v>
      </c>
      <c r="F51" s="130">
        <f>E51/SUM($C$51,$E$51,$G$51,$I$51,$K$51)</f>
        <v>1.2794244242260016E-2</v>
      </c>
      <c r="G51" s="317">
        <f>SUM(G11,G15,G19,G23,G27,G31,G35,G39,G43,G47)</f>
        <v>946670349.06976104</v>
      </c>
      <c r="H51" s="130">
        <f>G51/SUM($C$51,$E$51,$G$51,$I$51,$K$51)</f>
        <v>0.33951422103723272</v>
      </c>
      <c r="I51" s="317">
        <f>SUM(I11,I15,I19,I23,I27,I31,I35,I39,I43,I47)</f>
        <v>627148891.24128973</v>
      </c>
      <c r="J51" s="130">
        <f>I51/SUM($C$51,$E$51,$G$51,$I$51,$K$51)</f>
        <v>0.22492092151547882</v>
      </c>
      <c r="K51" s="317">
        <f>SUM(K11,K15,K19,K23,K27,K31,K35,K39,K43,K47)</f>
        <v>1141011397.9686584</v>
      </c>
      <c r="L51" s="130">
        <f>K51/SUM($C$51,$E$51,$G$51,$I$51,$K$51)</f>
        <v>0.40921277016503016</v>
      </c>
      <c r="M51" s="199"/>
      <c r="N51" s="199"/>
      <c r="O51" s="199"/>
      <c r="P51" s="199"/>
      <c r="Q51" s="199"/>
      <c r="R51" s="199"/>
      <c r="S51" s="328">
        <f>SUM(S11,S15,S19,S23,S27,S35,S39,S43,S47)</f>
        <v>8.360195176248078E-7</v>
      </c>
      <c r="T51" s="328">
        <f>SUM(T11,T15,T19,T23,T27,T35,T39,T43,T47)</f>
        <v>2.2085029214669127E-8</v>
      </c>
      <c r="U51" s="328">
        <f>SUM(U11,U15,U19,U23,U27,U35,U39,U43,U47)</f>
        <v>2.6099980521749369E-10</v>
      </c>
      <c r="V51" s="328">
        <f>SUM(V11,V15,V19,V23,V27,V35,V39,V43,V47)</f>
        <v>1.8477439954710895E-11</v>
      </c>
      <c r="W51" s="328">
        <f>SUM(W11,W15,W19,W23,W27,W35,W39,W43,W47)</f>
        <v>1.0032711588273178E-11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7.8553752958960189E-8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2.2267541706950185E-4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5.1850815667950747E-4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5.1927601205490501E-5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1.1333591252214552E-3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1.1128815707890497E-4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1.0617808248992361E-4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2.9421949885882406E-4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1.0617808248992361E-4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2.3115156586453207E-2</v>
      </c>
      <c r="AY72" s="75"/>
      <c r="AZ72" s="256">
        <f>output!AF22</f>
        <v>5.4792398635009051E-6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0.17012326899961042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2.5160781846284782E-2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4.1927335855585933E-4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1.8973349227625456E-7</v>
      </c>
      <c r="BE84" s="2"/>
      <c r="BF84" s="304">
        <f>IF(output!AK30&lt;0,"",output!AK30)</f>
        <v>7.0271663806020172E-8</v>
      </c>
      <c r="BG84" s="75"/>
      <c r="BH84" s="311">
        <f>IF(output!AK29&lt;0,"",output!AK29)</f>
        <v>4.0004767544107147E-7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4.5174938407049914E-8</v>
      </c>
      <c r="AV85" s="87"/>
      <c r="AW85" s="75"/>
      <c r="AX85" s="304">
        <f>output!AL24</f>
        <v>4.3840598974766304E-2</v>
      </c>
      <c r="AY85" s="87"/>
      <c r="AZ85" s="201"/>
      <c r="BA85" s="311">
        <f>IF(output!AI23&lt;0,"",output!AI23)</f>
        <v>4.4939939504851846E-9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1.4493421082120699E-2</v>
      </c>
      <c r="BE86" s="87"/>
      <c r="BF86" s="304">
        <f>IF(output!AJ30&lt;0,"",output!AJ30)</f>
        <v>5.3679337341187754E-3</v>
      </c>
      <c r="BG86" s="75"/>
      <c r="BH86" s="311">
        <f>IF(output!AJ29&lt;0,"",output!AJ29)</f>
        <v>3.2207602404712661E-2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6.7862556298296711E-2</v>
      </c>
      <c r="AV87" s="200"/>
      <c r="AW87" s="84"/>
      <c r="AX87" s="304">
        <f>IF(output!AH24&lt;0,"",output!AH24)</f>
        <v>1.7518521693776073E-3</v>
      </c>
      <c r="AY87" s="291">
        <f>output!AL24</f>
        <v>4.3840598974766304E-2</v>
      </c>
      <c r="AZ87" s="75"/>
      <c r="BA87" s="311">
        <f>IF(output!AH23&lt;0,"",output!AH23)</f>
        <v>1.5925928812523705E-4</v>
      </c>
      <c r="BB87" s="291">
        <f>output!AL23</f>
        <v>3.9855089977060285E-3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3.8032780784657697E-3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4.9189485945283454E-2</v>
      </c>
      <c r="AT89" s="83"/>
      <c r="AU89" s="302"/>
      <c r="AV89" s="75"/>
      <c r="AW89" s="81"/>
      <c r="AX89" s="265">
        <f>output!AD24</f>
        <v>3.8032780784657697E-3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1.0113957498432464</v>
      </c>
      <c r="AT90" s="81"/>
      <c r="AU90" s="278">
        <f>output!AD25</f>
        <v>0.95041441927758996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3.4148571337154558E-4</v>
      </c>
      <c r="BB91" s="309">
        <f>IF(ISERROR(output!F15),0,output!F15)</f>
        <v>4.4472080778318511E-2</v>
      </c>
      <c r="BC91" s="2"/>
      <c r="BD91" s="295">
        <f>output!AG28</f>
        <v>6.5293043008770929E-4</v>
      </c>
      <c r="BE91" s="2"/>
      <c r="BF91" s="312">
        <f>output!AG30</f>
        <v>2.4182608521766997E-4</v>
      </c>
      <c r="BG91" s="75"/>
      <c r="BH91" s="295">
        <f>output!AG29</f>
        <v>3.0253212698251025E-3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1.8980847221775347E-2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1.4573111390542583E-4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6.9833388341187944E-3</v>
      </c>
      <c r="AZ96" s="75"/>
      <c r="BA96" s="75"/>
      <c r="BB96" s="43"/>
      <c r="BC96" s="2"/>
      <c r="BD96" s="277">
        <f>IF(ISERROR(output!F39),0,output!F39)</f>
        <v>6.8441733981611831E-3</v>
      </c>
      <c r="BE96" s="43"/>
      <c r="BF96" s="277">
        <f>IF(ISERROR(output!F47),0,output!F47)</f>
        <v>2.5348790363559923E-3</v>
      </c>
      <c r="BG96" s="43"/>
      <c r="BH96" s="277">
        <f>IF(ISERROR(output!F43),0,output!F43)</f>
        <v>3.1712143287680322E-2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6.8654280528266274E-3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7.0437870695606959E-3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5.1453723033742114E-6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0.89412358727932928</v>
      </c>
      <c r="AW101" s="56"/>
      <c r="AX101" s="307"/>
      <c r="AY101" s="276">
        <f>IF(ISERROR(output!F23),0,output!F23)</f>
        <v>5.3935026795517093E-4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4.6070867990068241E-3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4.6228393038819414E-3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3.7366537186820991E-4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3.5647473810108803E-6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1.218775749410664E-5</v>
      </c>
      <c r="AW111" s="75"/>
      <c r="AX111" s="290">
        <f>output!AF26</f>
        <v>5.5302863138527116E-5</v>
      </c>
      <c r="AY111" s="75"/>
      <c r="AZ111" s="75"/>
      <c r="BA111" s="75"/>
      <c r="BB111" s="76"/>
      <c r="BC111" s="2"/>
      <c r="BD111" s="295">
        <f>output!AF28</f>
        <v>9.2591562221650402E-5</v>
      </c>
      <c r="BE111" s="76"/>
      <c r="BF111" s="295">
        <f>output!AF30</f>
        <v>3.4293171193203831E-5</v>
      </c>
      <c r="BG111" s="43"/>
      <c r="BH111" s="294">
        <f>output!AF29</f>
        <v>1.9522667710293509E-4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2.0776168270380497E-9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1.8205199138916378E-6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2.3545593267165394E-6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4.2948707171589286E-8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5.1466139238749272E-6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9.2045123577600301E-8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3.0520124908426643E-6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1.5909019726592636E-6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3.0520124908426635E-6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2.218725574363613E-3</v>
      </c>
      <c r="AT136" s="81">
        <f>output!AD32</f>
        <v>2.0769037878647912E-2</v>
      </c>
      <c r="AU136" s="268">
        <f>output!AF32</f>
        <v>6.9791944602600915E-7</v>
      </c>
      <c r="AV136" s="221"/>
      <c r="AW136" s="221"/>
      <c r="AX136" s="221"/>
      <c r="AY136" s="279">
        <f>output!AE38</f>
        <v>5.5447039028383213E-5</v>
      </c>
      <c r="AZ136" s="266">
        <f>output!AD38</f>
        <v>7.2268129349425632E-4</v>
      </c>
      <c r="BA136" s="268">
        <f>output!AF38</f>
        <v>2.9337653647473629E-8</v>
      </c>
      <c r="BB136" s="75"/>
      <c r="BC136" s="75"/>
      <c r="BD136" s="75"/>
      <c r="BE136" s="279">
        <f>output!AE44</f>
        <v>4.582609696401351E-5</v>
      </c>
      <c r="BF136" s="266">
        <f>output!AD44</f>
        <v>1.2517207180116475E-3</v>
      </c>
      <c r="BG136" s="268">
        <f>output!AF44</f>
        <v>4.1997217280577462E-8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2.9442984212255615E-3</v>
      </c>
      <c r="AV141" s="223" t="s">
        <v>446</v>
      </c>
      <c r="AW141" s="221"/>
      <c r="AX141" s="221"/>
      <c r="AY141" s="2"/>
      <c r="AZ141" s="202"/>
      <c r="BA141" s="269">
        <f>output!AG38</f>
        <v>1.9694601090329215E-5</v>
      </c>
      <c r="BB141" s="47" t="s">
        <v>446</v>
      </c>
      <c r="BC141" s="75"/>
      <c r="BD141" s="75"/>
      <c r="BE141" s="2"/>
      <c r="BF141" s="202"/>
      <c r="BG141" s="269">
        <f>output!AG44</f>
        <v>2.2179886839558268E-4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2.0125140489943128E-6</v>
      </c>
      <c r="AW142" s="221"/>
      <c r="AX142" s="221"/>
      <c r="AY142" s="203"/>
      <c r="AZ142" s="202"/>
      <c r="BA142" s="75"/>
      <c r="BB142" s="277">
        <f>IF(ISERROR(output!J11),0,output!J11)</f>
        <v>1.2769888774299295E-7</v>
      </c>
      <c r="BC142" s="75"/>
      <c r="BD142" s="75"/>
      <c r="BE142" s="203"/>
      <c r="BF142" s="75"/>
      <c r="BG142" s="75"/>
      <c r="BH142" s="277">
        <f>IF(ISERROR(output!L11),0,output!L11)</f>
        <v>1.0047613682833604E-7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9.3515363454285958E-8</v>
      </c>
      <c r="AY144" s="2"/>
      <c r="AZ144" s="75"/>
      <c r="BA144" s="75"/>
      <c r="BB144" s="75"/>
      <c r="BC144" s="75"/>
      <c r="BD144" s="270">
        <f>k.sA.aA*M.sA*Molweight</f>
        <v>2.8898585968076E-10</v>
      </c>
      <c r="BE144" s="2"/>
      <c r="BF144" s="75"/>
      <c r="BG144" s="75"/>
      <c r="BH144" s="75"/>
      <c r="BI144" s="75"/>
      <c r="BJ144" s="270">
        <f>k.sT.aT*M.sT*Molweight</f>
        <v>1.1023166917037372E-8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8.8635745512234415E-8</v>
      </c>
      <c r="AV145" s="221"/>
      <c r="AW145" s="221"/>
      <c r="AX145" s="221"/>
      <c r="AY145" s="2"/>
      <c r="AZ145" s="75"/>
      <c r="BA145" s="270">
        <f>k.w2A.aA*M.w2A*Molweight</f>
        <v>2.1246350244405665E-9</v>
      </c>
      <c r="BB145" s="75"/>
      <c r="BC145" s="75"/>
      <c r="BD145" s="221"/>
      <c r="BE145" s="2"/>
      <c r="BF145" s="75"/>
      <c r="BG145" s="270">
        <f>k.w2T.aT*M.w2T*Molweight</f>
        <v>5.9749128073414995E-7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7.1434806998498116E-3</v>
      </c>
      <c r="AY146" s="2"/>
      <c r="AZ146" s="75"/>
      <c r="BA146" s="221"/>
      <c r="BB146" s="75"/>
      <c r="BC146" s="75"/>
      <c r="BD146" s="270">
        <f>IF(output!AJ42&lt;0,"",output!AJ42)</f>
        <v>2.5394301849251201E-4</v>
      </c>
      <c r="BE146" s="2"/>
      <c r="BF146" s="75"/>
      <c r="BG146" s="221"/>
      <c r="BH146" s="75"/>
      <c r="BI146" s="75"/>
      <c r="BJ146" s="270">
        <f>IF(output!AJ48&lt;0,"",output!AJ48)</f>
        <v>2.5786120582078778E-4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9.1953135841524745</v>
      </c>
      <c r="AT147" s="81">
        <f>output!AD33</f>
        <v>9.1868108953121226</v>
      </c>
      <c r="AU147" s="270">
        <f>IF(output!AH33&lt;0,"",output!AH33)</f>
        <v>8.4620174148718665E-3</v>
      </c>
      <c r="AV147" s="272">
        <f>output!AL33</f>
        <v>6.775936191846306E-3</v>
      </c>
      <c r="AW147" s="221"/>
      <c r="AX147" s="221"/>
      <c r="AY147" s="279">
        <f>output!AE39</f>
        <v>6.6177265608249014</v>
      </c>
      <c r="AZ147" s="266">
        <f>output!AD39</f>
        <v>6.6182390788519969</v>
      </c>
      <c r="BA147" s="270">
        <f>IF(output!AH39&lt;0,"",output!AH39)</f>
        <v>3.9356971085026876E-4</v>
      </c>
      <c r="BB147" s="272">
        <f>output!AL39</f>
        <v>2.4520142025529911E-4</v>
      </c>
      <c r="BC147" s="75"/>
      <c r="BD147" s="75"/>
      <c r="BE147" s="279">
        <f>output!AE45</f>
        <v>8.3658408528202912</v>
      </c>
      <c r="BF147" s="266">
        <f>output!AD45</f>
        <v>8.3830405681210891</v>
      </c>
      <c r="BG147" s="270">
        <f>IF(output!AH45&lt;0,"",output!AH45)</f>
        <v>7.2680106406163535E-4</v>
      </c>
      <c r="BH147" s="272">
        <f>output!AL45</f>
        <v>2.4104492321808287E-4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3.3054877809675212E-2</v>
      </c>
      <c r="AW150" s="221"/>
      <c r="AX150" s="221"/>
      <c r="AY150" s="2"/>
      <c r="AZ150" s="75"/>
      <c r="BA150" s="59"/>
      <c r="BB150" s="273">
        <f>IF(ISERROR(output!J27),0,output!J27)</f>
        <v>3.9189012352804982E-2</v>
      </c>
      <c r="BC150" s="78"/>
      <c r="BD150" s="75"/>
      <c r="BE150" s="2"/>
      <c r="BF150" s="75"/>
      <c r="BG150" s="59"/>
      <c r="BH150" s="273">
        <f>IF(ISERROR(output!L27),0,output!L27)</f>
        <v>3.0042685192744556E-2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3.2181469780313013E-4</v>
      </c>
      <c r="AY151" s="2"/>
      <c r="AZ151" s="75"/>
      <c r="BA151" s="59"/>
      <c r="BB151" s="49"/>
      <c r="BC151" s="75"/>
      <c r="BD151" s="274">
        <f>output!AJ42</f>
        <v>2.5394301849251201E-4</v>
      </c>
      <c r="BE151" s="2"/>
      <c r="BF151" s="75"/>
      <c r="BG151" s="59"/>
      <c r="BH151" s="59"/>
      <c r="BI151" s="75"/>
      <c r="BJ151" s="274">
        <f>output!AG48</f>
        <v>1.518148711062874E-5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6.7351761306212558E-3</v>
      </c>
      <c r="AW152" s="221"/>
      <c r="AX152" s="221"/>
      <c r="AY152" s="2"/>
      <c r="AZ152" s="75"/>
      <c r="BA152" s="59"/>
      <c r="BB152" s="257">
        <f>output!AG39</f>
        <v>1.1512870335645456E-3</v>
      </c>
      <c r="BC152" s="2"/>
      <c r="BD152" s="75"/>
      <c r="BE152" s="2"/>
      <c r="BF152" s="75"/>
      <c r="BG152" s="59"/>
      <c r="BH152" s="257">
        <f>output!AG45</f>
        <v>1.8166963796795541E-2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7.5998262227263238</v>
      </c>
      <c r="AU153" s="224"/>
      <c r="AV153" s="225"/>
      <c r="AW153" s="221"/>
      <c r="AX153" s="221"/>
      <c r="AY153" s="2"/>
      <c r="AZ153" s="275">
        <f>k.w3A.w2A*M.w3A*Molweight</f>
        <v>5.4080445434120232</v>
      </c>
      <c r="BA153" s="59"/>
      <c r="BB153" s="49"/>
      <c r="BC153" s="2"/>
      <c r="BD153" s="75"/>
      <c r="BE153" s="2"/>
      <c r="BF153" s="275">
        <f>k.w3T.w2T*M.w3T*Molweight</f>
        <v>8.3830405681210891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7.7952266723388641</v>
      </c>
      <c r="AU155" s="221"/>
      <c r="AV155" s="223" t="s">
        <v>2166</v>
      </c>
      <c r="AW155" s="221"/>
      <c r="AX155" s="271">
        <f>IF(ISERROR(output!H47),0,output!H47)</f>
        <v>1.2712080565411681E-4</v>
      </c>
      <c r="AY155" s="2"/>
      <c r="AZ155" s="275">
        <f>k.w2A.w3A*M.w2A*Molweight</f>
        <v>6.6177265608249014</v>
      </c>
      <c r="BA155" s="75"/>
      <c r="BB155" s="223" t="s">
        <v>2166</v>
      </c>
      <c r="BC155" s="47"/>
      <c r="BD155" s="271">
        <f>IF(ISERROR(output!J47),0,output!J47)</f>
        <v>1.942767911905499E-5</v>
      </c>
      <c r="BE155" s="2"/>
      <c r="BF155" s="275">
        <f>k.w2T.w3T*M.w2T*Molweight</f>
        <v>7.7897224287781786</v>
      </c>
      <c r="BG155" s="75"/>
      <c r="BH155" s="223" t="s">
        <v>2166</v>
      </c>
      <c r="BI155" s="47"/>
      <c r="BJ155" s="271">
        <f>IF(ISERROR(output!L47),0,output!L47)</f>
        <v>2.020667582823003E-6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0.96678905332567244</v>
      </c>
      <c r="AW156" s="221"/>
      <c r="AX156" s="221"/>
      <c r="AY156" s="203"/>
      <c r="AZ156" s="2"/>
      <c r="BA156" s="75"/>
      <c r="BB156" s="273">
        <f>IF(ISERROR(output!J31),0,output!J31)</f>
        <v>0.96076464841065656</v>
      </c>
      <c r="BC156" s="75"/>
      <c r="BD156" s="75"/>
      <c r="BE156" s="203"/>
      <c r="BF156" s="2"/>
      <c r="BG156" s="75"/>
      <c r="BH156" s="273">
        <f>IF(ISERROR(output!L31),0,output!L31)</f>
        <v>0.96992820109600875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8.7796851994605145</v>
      </c>
      <c r="AT157" s="266">
        <f>output!AD34</f>
        <v>8.9766825233086109</v>
      </c>
      <c r="AU157" s="221"/>
      <c r="AV157" s="225"/>
      <c r="AW157" s="226"/>
      <c r="AX157" s="221"/>
      <c r="AY157" s="279">
        <f>output!AE40</f>
        <v>6.58950039438177</v>
      </c>
      <c r="AZ157" s="266">
        <f>output!AD40</f>
        <v>6.6177265608249014</v>
      </c>
      <c r="BA157" s="75"/>
      <c r="BB157" s="2"/>
      <c r="BC157" s="76"/>
      <c r="BD157" s="75"/>
      <c r="BE157" s="279">
        <f>output!AE46</f>
        <v>8.3830405681210891</v>
      </c>
      <c r="BF157" s="266">
        <f>output!AD46</f>
        <v>8.9695814055123702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0.1969904288497798</v>
      </c>
      <c r="AW158" s="226"/>
      <c r="AX158" s="221"/>
      <c r="AY158" s="2"/>
      <c r="AZ158" s="75"/>
      <c r="BA158" s="75"/>
      <c r="BB158" s="274">
        <f>output!AG40</f>
        <v>2.8225153317578244E-2</v>
      </c>
      <c r="BC158" s="2"/>
      <c r="BD158" s="75"/>
      <c r="BE158" s="2"/>
      <c r="BF158" s="75"/>
      <c r="BG158" s="75"/>
      <c r="BH158" s="274">
        <f>output!AG46</f>
        <v>0.58652049248439631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8.8360117121198817E-3</v>
      </c>
      <c r="AU159" s="221"/>
      <c r="AV159" s="221"/>
      <c r="AW159" s="226"/>
      <c r="AX159" s="221"/>
      <c r="AY159" s="2"/>
      <c r="AZ159" s="272">
        <f>k.sdA.w3A*M.sdA*Molweight</f>
        <v>5.8207189921579252E-3</v>
      </c>
      <c r="BA159" s="2"/>
      <c r="BB159" s="75"/>
      <c r="BC159" s="2"/>
      <c r="BD159" s="75"/>
      <c r="BE159" s="2"/>
      <c r="BF159" s="275">
        <f>k.sdT.w3T*M.sdT*Molweight</f>
        <v>1.0672520835207679E-2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8.8429067104357946E-3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5.8217321177117523E-3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1.0692865742092461E-2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2.6935544949163999E-5</v>
      </c>
      <c r="AW162" s="221"/>
      <c r="AX162" s="221"/>
      <c r="AY162" s="2"/>
      <c r="AZ162" s="75"/>
      <c r="BA162" s="47"/>
      <c r="BB162" s="276">
        <f>IF(ISERROR(output!J35),0,output!J35)</f>
        <v>2.6783858531498905E-5</v>
      </c>
      <c r="BC162" s="75"/>
      <c r="BD162" s="75"/>
      <c r="BE162" s="2"/>
      <c r="BF162" s="75"/>
      <c r="BG162" s="47"/>
      <c r="BH162" s="276">
        <f>IF(ISERROR(output!L35),0,output!L35)</f>
        <v>2.6992567526979562E-5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6.8189107309178845E-6</v>
      </c>
      <c r="AV164" s="269">
        <f>output!AF35</f>
        <v>7.6087584994445717E-8</v>
      </c>
      <c r="AW164" s="221"/>
      <c r="AX164" s="274">
        <f>output!AF36</f>
        <v>4.5636294836920708E-5</v>
      </c>
      <c r="AY164" s="2"/>
      <c r="AZ164" s="2"/>
      <c r="BA164" s="269">
        <f>output!AG41</f>
        <v>9.7761594114962994E-7</v>
      </c>
      <c r="BB164" s="269">
        <f>output!AF41</f>
        <v>3.5509612677982655E-8</v>
      </c>
      <c r="BC164" s="75"/>
      <c r="BD164" s="274">
        <f>output!AF42</f>
        <v>1.6501693455806421E-6</v>
      </c>
      <c r="BE164" s="2"/>
      <c r="BF164" s="2"/>
      <c r="BG164" s="269">
        <f>output!AG47</f>
        <v>2.0279798591172374E-5</v>
      </c>
      <c r="BH164" s="269">
        <f>output!AF47</f>
        <v>6.5108293608833314E-8</v>
      </c>
      <c r="BI164" s="75"/>
      <c r="BJ164" s="274">
        <f>output!AF48</f>
        <v>1.6237723251590322E-6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1905.1873772692443</v>
      </c>
      <c r="BA172" s="128">
        <f>output!I11</f>
        <v>80.086215860763957</v>
      </c>
      <c r="BB172" s="128">
        <f>output!K11</f>
        <v>114.64441734498992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31292072.714543533</v>
      </c>
      <c r="BA173" s="128">
        <f>output!I27</f>
        <v>24577345.645902853</v>
      </c>
      <c r="BB173" s="128">
        <f>output!K27</f>
        <v>34279046.230505779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915230530.58863819</v>
      </c>
      <c r="BA174" s="128">
        <f>output!I31</f>
        <v>602542483.99457085</v>
      </c>
      <c r="BB174" s="128">
        <f>output!K31</f>
        <v>1106699132.661783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25499.081739409321</v>
      </c>
      <c r="BA175" s="128">
        <f>output!I35</f>
        <v>16797.467181193097</v>
      </c>
      <c r="BB175" s="128">
        <f>output!K35</f>
        <v>30798.827208722363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120341.49746261202</v>
      </c>
      <c r="BA176" s="128">
        <f>output!I47</f>
        <v>12184.047418906894</v>
      </c>
      <c r="BB176" s="128">
        <f>output!K47</f>
        <v>2305.6047435068244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92.943612806324296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278.83083841897292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278.83083841897292</v>
      </c>
      <c r="G11" s="508">
        <f>2*Scale*(M.tot/Emis.tot)/(3600*24*365)</f>
        <v>557.66167683794583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S3" sqref="S3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2" width="9.109375" style="430" customWidth="1"/>
    <col min="13" max="17" width="9.109375" style="179" customWidth="1"/>
    <col min="18" max="18" width="3.109375" customWidth="1"/>
    <col min="19" max="16384" width="9.109375" style="18"/>
  </cols>
  <sheetData>
    <row r="1" spans="1:19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9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9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  <c r="S3" s="18" t="s">
        <v>4058</v>
      </c>
    </row>
    <row r="4" spans="1:19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9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9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9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9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9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9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9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9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9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9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9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9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0.66613686898570845</v>
      </c>
      <c r="M271" s="451">
        <f>((DRYDEPaerosol.R+AerosolWashout.R+GasWashout.R+GASABS.aR.sR)/HEIGHT.aR)*AREAFRAC.s1R</f>
        <v>0.66613686898570845</v>
      </c>
      <c r="N271" s="451">
        <f>((DRYDEPaerosol.R+AerosolWashout.R+GasWashout.R+GASABS.aR.sR)/HEIGHT.aR)*AREAFRAC.s1R</f>
        <v>0.66613686898570845</v>
      </c>
      <c r="O271" s="451">
        <f>((DRYDEPaerosol.R+AerosolWashout.R+GasWashout.R+GASABS.aR.sR)/HEIGHT.aR)*AREAFRAC.s1R</f>
        <v>0.66613686898570845</v>
      </c>
      <c r="P271" s="451">
        <f>((DRYDEPaerosol.R+AerosolWashout.R+GasWashout.R+GASABS.aR.sR)/HEIGHT.aR)*AREAFRAC.s1R</f>
        <v>0.66613686898570845</v>
      </c>
      <c r="Q271" s="452"/>
      <c r="R271" s="158"/>
    </row>
    <row r="272" spans="1:18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1.4803041533015742</v>
      </c>
      <c r="M272" s="451">
        <f>((DRYDEPaerosol.R+AerosolWashout.R+GasWashout.R+GASABS.aR.sR)/HEIGHT.aR)*AREAFRAC.s2R</f>
        <v>1.4803041533015742</v>
      </c>
      <c r="N272" s="451">
        <f>((DRYDEPaerosol.R+AerosolWashout.R+GasWashout.R+GASABS.aR.sR)/HEIGHT.aR)*AREAFRAC.s2R</f>
        <v>1.4803041533015742</v>
      </c>
      <c r="O272" s="451">
        <f>((DRYDEPaerosol.R+AerosolWashout.R+GasWashout.R+GASABS.aR.sR)/HEIGHT.aR)*AREAFRAC.s2R</f>
        <v>1.4803041533015742</v>
      </c>
      <c r="P272" s="451">
        <f>((DRYDEPaerosol.R+AerosolWashout.R+GasWashout.R+GASABS.aR.sR)/HEIGHT.aR)*AREAFRAC.s2R</f>
        <v>1.4803041533015742</v>
      </c>
      <c r="Q272" s="452"/>
      <c r="R272" s="158"/>
    </row>
    <row r="273" spans="1:18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0.24671735888359572</v>
      </c>
      <c r="M273" s="451">
        <f>((DRYDEPaerosol.R+AerosolWashout.R+GasWashout.R+GASABS.aR.sR)/HEIGHT.aR)*AREAFRAC.s3R</f>
        <v>0.24671735888359572</v>
      </c>
      <c r="N273" s="451">
        <f>((DRYDEPaerosol.R+AerosolWashout.R+GasWashout.R+GASABS.aR.sR)/HEIGHT.aR)*AREAFRAC.s3R</f>
        <v>0.24671735888359572</v>
      </c>
      <c r="O273" s="451">
        <f>((DRYDEPaerosol.R+AerosolWashout.R+GasWashout.R+GASABS.aR.sR)/HEIGHT.aR)*AREAFRAC.s3R</f>
        <v>0.24671735888359572</v>
      </c>
      <c r="P273" s="451">
        <f>((DRYDEPaerosol.R+AerosolWashout.R+GasWashout.R+GASABS.aR.sR)/HEIGHT.aR)*AREAFRAC.s3R</f>
        <v>0.24671735888359572</v>
      </c>
      <c r="Q273" s="452"/>
      <c r="R273" s="158"/>
    </row>
    <row r="274" spans="1:18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0.32395118387419652</v>
      </c>
      <c r="M496" s="451">
        <f>((DRYDEPaerosol.C+AerosolWashout.C+GasWashout.C+GASABS.aC.sC)/HEIGHT.aC)*AREAFRAC.s1C</f>
        <v>0.32395118387419652</v>
      </c>
      <c r="N496" s="451">
        <f>((DRYDEPaerosol.C+AerosolWashout.C+GasWashout.C+GASABS.aC.sC)/HEIGHT.aC)*AREAFRAC.s1C</f>
        <v>0.32395118387419652</v>
      </c>
      <c r="O496" s="451">
        <f>((DRYDEPaerosol.C+AerosolWashout.C+GasWashout.C+GASABS.aC.sC)/HEIGHT.aC)*AREAFRAC.s1C</f>
        <v>0.32395118387419652</v>
      </c>
      <c r="P496" s="451">
        <f>((DRYDEPaerosol.C+AerosolWashout.C+GasWashout.C+GASABS.aC.sC)/HEIGHT.aC)*AREAFRAC.s1C</f>
        <v>0.32395118387419652</v>
      </c>
      <c r="Q496" s="452"/>
      <c r="R496" s="158"/>
    </row>
    <row r="497" spans="1:18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0.71989151972043663</v>
      </c>
      <c r="M497" s="451">
        <f>((DRYDEPaerosol.C+AerosolWashout.C+GasWashout.C+GASABS.aC.sC)/HEIGHT.aC)*AREAFRAC.s2C</f>
        <v>0.71989151972043663</v>
      </c>
      <c r="N497" s="451">
        <f>((DRYDEPaerosol.C+AerosolWashout.C+GasWashout.C+GASABS.aC.sC)/HEIGHT.aC)*AREAFRAC.s2C</f>
        <v>0.71989151972043663</v>
      </c>
      <c r="O497" s="451">
        <f>((DRYDEPaerosol.C+AerosolWashout.C+GasWashout.C+GASABS.aC.sC)/HEIGHT.aC)*AREAFRAC.s2C</f>
        <v>0.71989151972043663</v>
      </c>
      <c r="P497" s="451">
        <f>((DRYDEPaerosol.C+AerosolWashout.C+GasWashout.C+GASABS.aC.sC)/HEIGHT.aC)*AREAFRAC.s2C</f>
        <v>0.71989151972043663</v>
      </c>
      <c r="Q497" s="452"/>
      <c r="R497" s="158"/>
    </row>
    <row r="498" spans="1:18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0.11998191995340608</v>
      </c>
      <c r="M498" s="451">
        <f>((DRYDEPaerosol.C+AerosolWashout.C+GasWashout.C+GASABS.aC.sC)/HEIGHT.aC)*AREAFRAC.s3C</f>
        <v>0.11998191995340608</v>
      </c>
      <c r="N498" s="451">
        <f>((DRYDEPaerosol.C+AerosolWashout.C+GasWashout.C+GASABS.aC.sC)/HEIGHT.aC)*AREAFRAC.s3C</f>
        <v>0.11998191995340608</v>
      </c>
      <c r="O498" s="451">
        <f>((DRYDEPaerosol.C+AerosolWashout.C+GasWashout.C+GASABS.aC.sC)/HEIGHT.aC)*AREAFRAC.s3C</f>
        <v>0.11998191995340608</v>
      </c>
      <c r="P498" s="451">
        <f>((DRYDEPaerosol.C+AerosolWashout.C+GasWashout.C+GASABS.aC.sC)/HEIGHT.aC)*AREAFRAC.s3C</f>
        <v>0.11998191995340608</v>
      </c>
      <c r="Q498" s="452"/>
      <c r="R498" s="158"/>
    </row>
    <row r="499" spans="1:18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1.2389837703746569</v>
      </c>
      <c r="M681" s="452">
        <f>((DRYDEPaerosol.M+AerosolWashout.M+GasWashout.M+GASABS.aM.sM)/HEIGHT.aC)*AREAFRAC.sM</f>
        <v>1.2389837703746569</v>
      </c>
      <c r="N681" s="452">
        <f>((DRYDEPaerosol.M+AerosolWashout.M+GasWashout.M+GASABS.aM.sM)/HEIGHT.aC)*AREAFRAC.sM</f>
        <v>1.2389837703746569</v>
      </c>
      <c r="O681" s="452">
        <f>((DRYDEPaerosol.M+AerosolWashout.M+GasWashout.M+GASABS.aM.sM)/HEIGHT.aC)*AREAFRAC.sM</f>
        <v>1.2389837703746569</v>
      </c>
      <c r="P681" s="452">
        <f>((DRYDEPaerosol.M+AerosolWashout.M+GasWashout.M+GASABS.aM.sM)/HEIGHT.aC)*AREAFRAC.sM</f>
        <v>1.2389837703746569</v>
      </c>
      <c r="Q681" s="452"/>
      <c r="R681" s="158"/>
    </row>
    <row r="682" spans="1:18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2.2070321467130531</v>
      </c>
      <c r="M817" s="451">
        <f>((DRYDEPaerosol.A+AerosolWashout.A+GasWashout.A+GASABS.aA.sA)/HEIGHT.aC)*AREAFRAC.sA</f>
        <v>2.2070321467130531</v>
      </c>
      <c r="N817" s="451">
        <f>((DRYDEPaerosol.A+AerosolWashout.A+GasWashout.A+GASABS.aA.sA)/HEIGHT.aC)*AREAFRAC.sA</f>
        <v>2.2070321467130531</v>
      </c>
      <c r="O817" s="451">
        <f>((DRYDEPaerosol.A+AerosolWashout.A+GasWashout.A+GASABS.aA.sA)/HEIGHT.aC)*AREAFRAC.sA</f>
        <v>2.2070321467130531</v>
      </c>
      <c r="P817" s="451">
        <f>((DRYDEPaerosol.A+AerosolWashout.A+GasWashout.A+GASABS.aA.sA)/HEIGHT.aC)*AREAFRAC.sA</f>
        <v>2.2070321467130531</v>
      </c>
      <c r="Q817" s="452"/>
      <c r="R817" s="158"/>
    </row>
    <row r="818" spans="1:18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0.25272032867837774</v>
      </c>
      <c r="M953" s="451">
        <f>((DRYDEPaerosol.T+AerosolWashout.T+GasWashout.T+GASABS.aT.sT)/HEIGHT.aT)*AREAFRAC.sT</f>
        <v>0.25272032867837774</v>
      </c>
      <c r="N953" s="451">
        <f>((DRYDEPaerosol.T+AerosolWashout.T+GasWashout.T+GASABS.aT.sT)/HEIGHT.aT)*AREAFRAC.sT</f>
        <v>0.25272032867837774</v>
      </c>
      <c r="O953" s="451">
        <f>((DRYDEPaerosol.T+AerosolWashout.T+GasWashout.T+GASABS.aT.sT)/HEIGHT.aT)*AREAFRAC.sT</f>
        <v>0.25272032867837774</v>
      </c>
      <c r="P953" s="451">
        <f>((DRYDEPaerosol.T+AerosolWashout.T+GasWashout.T+GASABS.aT.sT)/HEIGHT.aT)*AREAFRAC.sT</f>
        <v>0.25272032867837774</v>
      </c>
      <c r="Q953" s="452"/>
      <c r="R953" s="158"/>
    </row>
    <row r="954" spans="1:18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36">
        <f t="shared" ref="L60:L65" si="2">IF(ISBLANK(I60),IF(ISNUMBER(J60)=FALSE,K60,J60),I60)</f>
        <v>0.48985838853883401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36">
        <f t="shared" si="2"/>
        <v>0.13396161315396571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36">
        <f t="shared" si="2"/>
        <v>0.37617999830720028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36">
        <f t="shared" si="2"/>
        <v>7.3134142984054159E-11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36">
        <f t="shared" si="2"/>
        <v>13673504046.092884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36">
        <f t="shared" si="2"/>
        <v>38396810905.829605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36">
        <f>IF(ISBLANK(I66),IF(ISNUMBER(J66)=FALSE,K66,J66),I66)</f>
        <v>0.99998335721193932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7.6861300956135628</v>
      </c>
      <c r="L67" s="636">
        <f>IF(ISBLANK(I67),IF(ISNUMBER(J67)=FALSE,K67,J67),I67)</f>
        <v>7.6861300956135628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12.8</v>
      </c>
      <c r="L70" s="636">
        <f>IF(ISBLANK(I70),IF(ISNUMBER(J70)=FALSE,K70,J70),I70)</f>
        <v>12.8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36">
        <f t="shared" ref="L72:L104" si="3">IF(ISBLANK(I72),IF(ISNUMBER(J72)=FALSE,K72,J72),I72)</f>
        <v>0.99987192445401252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7.6861300956135628</v>
      </c>
      <c r="L73" s="636">
        <f t="shared" si="3"/>
        <v>7.6861300956135628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12.8</v>
      </c>
      <c r="L76" s="636">
        <f t="shared" si="3"/>
        <v>12.8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0.99994877197396703</v>
      </c>
      <c r="L78" s="636">
        <f t="shared" si="3"/>
        <v>0.99994877197396703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7.6861300956135628</v>
      </c>
      <c r="L79" s="636">
        <f t="shared" si="3"/>
        <v>7.6861300956135628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12.8</v>
      </c>
      <c r="L82" s="636">
        <f t="shared" si="3"/>
        <v>12.8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2.7215325239033903</v>
      </c>
      <c r="L84" s="636">
        <f t="shared" si="3"/>
        <v>2.7215325239033903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3.8430650478067814</v>
      </c>
      <c r="L85" s="636">
        <f t="shared" si="3"/>
        <v>3.8430650478067814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2.7215325239033903</v>
      </c>
      <c r="L87" s="636">
        <f t="shared" si="3"/>
        <v>2.7215325239033903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3.8430650478067814</v>
      </c>
      <c r="L88" s="636">
        <f t="shared" si="3"/>
        <v>3.8430650478067814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2.5058390286986958</v>
      </c>
      <c r="L90" s="636">
        <f t="shared" si="3"/>
        <v>2.5058390286986958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36">
        <f t="shared" si="3"/>
        <v>7.9813586471219486E-2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36">
        <f t="shared" si="3"/>
        <v>0.9201864135229435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1.5372260191227125</v>
      </c>
      <c r="L93" s="636">
        <f t="shared" si="3"/>
        <v>1.5372260191227125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2.5058390286986958</v>
      </c>
      <c r="L95" s="636">
        <f t="shared" si="3"/>
        <v>2.5058390286986958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36">
        <f t="shared" si="3"/>
        <v>7.9813586471219486E-2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36">
        <f t="shared" si="3"/>
        <v>0.9201864135229435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1.5372260191227125</v>
      </c>
      <c r="L98" s="636">
        <f t="shared" si="3"/>
        <v>1.5372260191227125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2.5058390286986958</v>
      </c>
      <c r="L100" s="636">
        <f t="shared" si="3"/>
        <v>2.5058390286986958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36">
        <f t="shared" si="3"/>
        <v>7.9813586471219486E-2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36">
        <f t="shared" si="3"/>
        <v>0.9201864135229435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1.5372260191227125</v>
      </c>
      <c r="L103" s="636">
        <f t="shared" si="3"/>
        <v>1.5372260191227125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2.042092426847822E-8</v>
      </c>
      <c r="L108" s="636">
        <f>IF(ISBLANK(I108),IF(ISNUMBER(J108)=FALSE,K108,J108),I108)</f>
        <v>2.042092426847822E-8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2.2463016695326045E-7</v>
      </c>
      <c r="L109" s="636">
        <f t="shared" ref="L109:L137" si="4">IF(ISBLANK(I109),IF(ISNUMBER(J109)=FALSE,K109,J109),I109)</f>
        <v>2.2463016695326045E-7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3.573684082509208E-8</v>
      </c>
      <c r="L110" s="636">
        <f t="shared" si="4"/>
        <v>3.573684082509208E-8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1.8333660620144195E-6</v>
      </c>
      <c r="L111" s="636">
        <f t="shared" si="4"/>
        <v>1.8333660620144195E-6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4.074146804476487E-6</v>
      </c>
      <c r="L112" s="636">
        <f t="shared" si="4"/>
        <v>4.074146804476487E-6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6.7902446741274783E-7</v>
      </c>
      <c r="L113" s="636">
        <f t="shared" si="4"/>
        <v>6.7902446741274783E-7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2.832628313446183E-15</v>
      </c>
      <c r="L114" s="636">
        <f>IF(ISBLANK(I114),IF(ISNUMBER(J114)=FALSE,K114,J114),I114)</f>
        <v>2.832628313446183E-15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9.4410422020256369E-14</v>
      </c>
      <c r="L115" s="636">
        <f t="shared" si="4"/>
        <v>9.4410422020256369E-14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2.8325303446914023E-14</v>
      </c>
      <c r="L116" s="636">
        <f t="shared" si="4"/>
        <v>2.8325303446914023E-14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7.7708326243272425E-13</v>
      </c>
      <c r="L117" s="636">
        <f t="shared" si="4"/>
        <v>7.7708326243272425E-13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3.5361502868102846E-13</v>
      </c>
      <c r="L118" s="636">
        <f t="shared" si="4"/>
        <v>3.5361502868102846E-13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7.7708326243272425E-13</v>
      </c>
      <c r="L119" s="636">
        <f t="shared" si="4"/>
        <v>7.7708326243272425E-13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6.3067576793670387E-6</v>
      </c>
      <c r="L120" s="636">
        <f t="shared" si="4"/>
        <v>6.3067576793670387E-6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1.7832879473444691E-5</v>
      </c>
      <c r="L121" s="636">
        <f t="shared" si="4"/>
        <v>1.7832879473444691E-5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1.2036263405538818E-5</v>
      </c>
      <c r="L122" s="636">
        <f t="shared" si="4"/>
        <v>1.2036263405538818E-5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2.4779780435349954</v>
      </c>
      <c r="L123" s="636">
        <f t="shared" si="4"/>
        <v>2.4779780435349954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5.1014161146116597E-4</v>
      </c>
      <c r="L126" s="636">
        <f t="shared" si="4"/>
        <v>5.1014161146116597E-4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2.7833375487806549E-2</v>
      </c>
      <c r="L127" s="636">
        <f t="shared" si="4"/>
        <v>2.7833375487806549E-2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2477.9386840377138</v>
      </c>
      <c r="L128" s="636">
        <f t="shared" si="4"/>
        <v>2477.9386840377138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1.8973488688493413E-3</v>
      </c>
      <c r="L131" s="636">
        <f t="shared" ref="L131:L134" si="5">IF(ISBLANK(I131),IF(ISNUMBER(J131)=FALSE,K131,J131),I131)</f>
        <v>1.8973488688493413E-3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5.1319450088166082E-4</v>
      </c>
      <c r="L132" s="636">
        <f t="shared" si="5"/>
        <v>5.1319450088166082E-4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2.8326283134461829E-13</v>
      </c>
      <c r="L133" s="636">
        <f t="shared" si="5"/>
        <v>2.8326283134461829E-13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2.8323126606076911E-13</v>
      </c>
      <c r="L134" s="636">
        <f t="shared" si="5"/>
        <v>2.8323126606076911E-13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2.8325303446914023E-13</v>
      </c>
      <c r="L135" s="636">
        <f t="shared" si="4"/>
        <v>2.8325303446914023E-13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3.8732601668996416E-3</v>
      </c>
      <c r="L136" s="636">
        <f t="shared" si="4"/>
        <v>3.8732601668996416E-3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4.6776192822663505E-6</v>
      </c>
      <c r="L137" s="636">
        <f t="shared" si="4"/>
        <v>4.6776192822663505E-6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3.8854163121636212E-14</v>
      </c>
      <c r="L138" s="636">
        <f t="shared" ref="L138:L145" si="6">IF(ISBLANK(I138),IF(ISNUMBER(J138)=FALSE,K138,J138),I138)</f>
        <v>3.8854163121636212E-14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7.0723005736205698E-14</v>
      </c>
      <c r="L139" s="636">
        <f t="shared" si="6"/>
        <v>7.0723005736205698E-14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3.8854163121636212E-14</v>
      </c>
      <c r="L140" s="636">
        <f t="shared" si="6"/>
        <v>3.8854163121636212E-14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2.6741789373454676E-10</v>
      </c>
      <c r="L142" s="636">
        <f t="shared" si="6"/>
        <v>2.6741789373454676E-10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1.0402439141446337E-8</v>
      </c>
      <c r="L147" s="636">
        <f t="shared" ref="L147:L167" si="7">IF(ISBLANK(I147),IF(ISNUMBER(J147)=FALSE,K147,J147),I147)</f>
        <v>1.0402439141446337E-8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2.8985833890664925E-9</v>
      </c>
      <c r="L148" s="636">
        <f t="shared" si="7"/>
        <v>2.8985833890664925E-9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3.6292048071500488E-7</v>
      </c>
      <c r="L149" s="636">
        <f t="shared" si="7"/>
        <v>3.6292048071500488E-7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3.4441239218126568E-7</v>
      </c>
      <c r="L150" s="636">
        <f t="shared" si="7"/>
        <v>3.4441239218126568E-7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3.705889640841514E-9</v>
      </c>
      <c r="L151" s="636">
        <f t="shared" si="7"/>
        <v>3.705889640841514E-9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1.482292419935412E-9</v>
      </c>
      <c r="L153" s="636">
        <f t="shared" si="7"/>
        <v>1.482292419935412E-9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2.7501427783497495E-8</v>
      </c>
      <c r="L162" s="636">
        <f t="shared" si="7"/>
        <v>2.7501427783497495E-8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1.0106419913586117E-8</v>
      </c>
      <c r="L163" s="636">
        <f t="shared" si="7"/>
        <v>1.0106419913586117E-8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2.7503541470729513E-8</v>
      </c>
      <c r="L164" s="636">
        <f t="shared" si="7"/>
        <v>2.7503541470729513E-8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1.0106419913586117E-8</v>
      </c>
      <c r="L165" s="636">
        <f t="shared" si="7"/>
        <v>1.0106419913586117E-8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5.1613740675410114E-8</v>
      </c>
      <c r="L169" s="636">
        <f t="shared" ref="L169:L183" si="8">IF(ISBLANK(I169),IF(ISNUMBER(J169)=FALSE,K169,J169),I169)</f>
        <v>5.1613740675410114E-8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2.3487051222970356E-8</v>
      </c>
      <c r="L170" s="636">
        <f t="shared" si="8"/>
        <v>2.3487051222970356E-8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5.1613740675410114E-8</v>
      </c>
      <c r="L171" s="636">
        <f t="shared" si="8"/>
        <v>5.1613740675410114E-8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4.6921582432191008E-9</v>
      </c>
      <c r="L172" s="636">
        <f t="shared" si="8"/>
        <v>4.6921582432191008E-9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2.1351864748154871E-9</v>
      </c>
      <c r="L173" s="636">
        <f t="shared" si="8"/>
        <v>2.1351864748154871E-9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4.6921582432191008E-9</v>
      </c>
      <c r="L174" s="636">
        <f t="shared" si="8"/>
        <v>4.6921582432191008E-9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1.5457777937268982E-6</v>
      </c>
      <c r="L187" s="636">
        <f t="shared" ref="L187:L211" si="9">IF(ISBLANK(I187),IF(ISNUMBER(J187)=FALSE,K187,J187),I187)</f>
        <v>1.5457777937268982E-6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2.1524330272611406E-10</v>
      </c>
      <c r="L188" s="636">
        <f>IF(ISBLANK(I188),IF(ISNUMBER(J188)=FALSE,K188,J188),I188)</f>
        <v>2.1524330272611406E-10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2.1521931717207951E-10</v>
      </c>
      <c r="L189" s="636">
        <f t="shared" si="9"/>
        <v>2.1521931717207951E-10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2.1523585836137233E-10</v>
      </c>
      <c r="L190" s="636">
        <f t="shared" si="9"/>
        <v>2.1523585836137233E-10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3.1627861501187856E-9</v>
      </c>
      <c r="L191" s="636">
        <f t="shared" si="9"/>
        <v>3.1627861501187856E-9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2.38075122706788E-9</v>
      </c>
      <c r="L192" s="636">
        <f t="shared" si="9"/>
        <v>2.38075122706788E-9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3.0534021961477695E-9</v>
      </c>
      <c r="L193" s="636">
        <f t="shared" si="9"/>
        <v>3.0534021961477695E-9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2.8467460868656887E-9</v>
      </c>
      <c r="L194" s="636">
        <f t="shared" si="9"/>
        <v>2.8467460868656887E-9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3.0534021961477695E-9</v>
      </c>
      <c r="L195" s="636">
        <f t="shared" si="9"/>
        <v>3.0534021961477695E-9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1.54541146784507E-6</v>
      </c>
      <c r="L197" s="636">
        <f t="shared" si="9"/>
        <v>1.54541146784507E-6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2.1524330272611406E-10</v>
      </c>
      <c r="L200" s="636">
        <f>IF(ISBLANK(I200),IF(ISNUMBER(J200)=FALSE,K200,J200),I200)</f>
        <v>2.1524330272611406E-10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2.1521931717207951E-10</v>
      </c>
      <c r="L201" s="636">
        <f t="shared" si="9"/>
        <v>2.1521931717207951E-10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2.1523585836137233E-10</v>
      </c>
      <c r="L202" s="636">
        <f t="shared" si="9"/>
        <v>2.1523585836137233E-10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2.6741789373454681E-10</v>
      </c>
      <c r="L207" s="636">
        <f t="shared" si="9"/>
        <v>2.6741789373454681E-10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2.6741789373454681E-10</v>
      </c>
      <c r="L208" s="636">
        <f t="shared" si="9"/>
        <v>2.6741789373454681E-10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2.6741789373454676E-9</v>
      </c>
      <c r="L209" s="636">
        <f t="shared" si="9"/>
        <v>2.6741789373454676E-9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2.6741789373454676E-9</v>
      </c>
      <c r="L210" s="636">
        <f t="shared" si="9"/>
        <v>2.6741789373454676E-9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2.6741789373454676E-9</v>
      </c>
      <c r="L211" s="636">
        <f t="shared" si="9"/>
        <v>2.6741789373454676E-9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65" sqref="K16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36">
        <f t="shared" ref="L66:L110" si="2">IF(ISBLANK(I66),IF(ISNUMBER(J66)=FALSE,K66,J66),I66)</f>
        <v>0.48985838853883401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36">
        <f t="shared" si="2"/>
        <v>0.13396161315396571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36">
        <f t="shared" si="2"/>
        <v>0.37617999830720028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36">
        <f t="shared" ref="L69:L71" si="3">IF(ISBLANK(I69),IF(ISNUMBER(J69)=FALSE,K69,J69),I69)</f>
        <v>7.3134142984054159E-11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36">
        <f t="shared" si="3"/>
        <v>13673504046.092884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36">
        <f t="shared" si="3"/>
        <v>38396810905.829605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36">
        <f t="shared" si="2"/>
        <v>0.99998335721193932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7.6861300956135628</v>
      </c>
      <c r="L73" s="636">
        <f t="shared" si="2"/>
        <v>7.6861300956135628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12.8</v>
      </c>
      <c r="L76" s="636">
        <f>IF(ISBLANK(I76),IF(ISNUMBER(J76)=FALSE,K76,J76),I76)</f>
        <v>12.8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0.99987192445401252</v>
      </c>
      <c r="L78" s="646">
        <f t="shared" si="2"/>
        <v>0.99987192445401252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7.6861300956135628</v>
      </c>
      <c r="L79" s="636">
        <f t="shared" si="2"/>
        <v>7.6861300956135628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12.8</v>
      </c>
      <c r="L82" s="636">
        <f t="shared" si="2"/>
        <v>12.8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0.99994877197396703</v>
      </c>
      <c r="L84" s="636">
        <f t="shared" si="2"/>
        <v>0.99994877197396703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7.6861300956135628</v>
      </c>
      <c r="L85" s="636">
        <f t="shared" si="2"/>
        <v>7.6861300956135628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12.8</v>
      </c>
      <c r="L88" s="636">
        <f t="shared" si="2"/>
        <v>12.8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2.7215325239033903</v>
      </c>
      <c r="L90" s="636">
        <f t="shared" si="2"/>
        <v>2.7215325239033903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3.8430650478067814</v>
      </c>
      <c r="L91" s="636">
        <f t="shared" si="2"/>
        <v>3.8430650478067814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2.7215325239033903</v>
      </c>
      <c r="L93" s="636">
        <f t="shared" si="2"/>
        <v>2.7215325239033903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3.8430650478067814</v>
      </c>
      <c r="L94" s="636">
        <f t="shared" si="2"/>
        <v>3.8430650478067814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2.5058390286986958</v>
      </c>
      <c r="L96" s="636">
        <f t="shared" si="2"/>
        <v>2.5058390286986958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7.9813586471219486E-2</v>
      </c>
      <c r="L97" s="636">
        <f t="shared" si="2"/>
        <v>7.9813586471219486E-2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0.9201864135229435</v>
      </c>
      <c r="L98" s="636">
        <f t="shared" si="2"/>
        <v>0.9201864135229435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1.5372260191227125</v>
      </c>
      <c r="L99" s="636">
        <f t="shared" si="2"/>
        <v>1.5372260191227125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2.5058390286986958</v>
      </c>
      <c r="L101" s="636">
        <f t="shared" si="2"/>
        <v>2.5058390286986958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7.9813586471219486E-2</v>
      </c>
      <c r="L102" s="636">
        <f t="shared" si="2"/>
        <v>7.9813586471219486E-2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0.9201864135229435</v>
      </c>
      <c r="L103" s="636">
        <f t="shared" si="2"/>
        <v>0.9201864135229435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1.5372260191227125</v>
      </c>
      <c r="L104" s="636">
        <f t="shared" si="2"/>
        <v>1.5372260191227125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2.5058390286986958</v>
      </c>
      <c r="L106" s="636">
        <f t="shared" si="2"/>
        <v>2.5058390286986958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7.9813586471219486E-2</v>
      </c>
      <c r="L107" s="636">
        <f t="shared" si="2"/>
        <v>7.9813586471219486E-2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0.9201864135229435</v>
      </c>
      <c r="L108" s="636">
        <f t="shared" si="2"/>
        <v>0.9201864135229435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1.5372260191227125</v>
      </c>
      <c r="L109" s="636">
        <f t="shared" si="2"/>
        <v>1.5372260191227125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1.0647608174708385E-8</v>
      </c>
      <c r="L114" s="636">
        <f>IF(ISBLANK(I114),IF(ISNUMBER(J114)=FALSE,K114,J114),I114)</f>
        <v>1.0647608174708385E-8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1.1712368992179221E-7</v>
      </c>
      <c r="L115" s="636">
        <f t="shared" ref="L115:L136" si="4">IF(ISBLANK(I115),IF(ISNUMBER(J115)=FALSE,K115,J115),I115)</f>
        <v>1.1712368992179221E-7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4.537091165635125E-6</v>
      </c>
      <c r="L116" s="636">
        <f t="shared" si="4"/>
        <v>4.537091165635125E-6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9.6898755865419947E-7</v>
      </c>
      <c r="L117" s="636">
        <f t="shared" si="4"/>
        <v>9.6898755865419947E-7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2.1533056858982208E-6</v>
      </c>
      <c r="L118" s="636">
        <f t="shared" si="4"/>
        <v>2.1533056858982208E-6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3.5888428098303675E-7</v>
      </c>
      <c r="L119" s="636">
        <f t="shared" si="4"/>
        <v>3.5888428098303675E-7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2.832628313446183E-15</v>
      </c>
      <c r="L120" s="636">
        <f>IF(ISBLANK(I120),IF(ISNUMBER(J120)=FALSE,K120,J120),I120)</f>
        <v>2.832628313446183E-15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9.4410422020256369E-14</v>
      </c>
      <c r="L121" s="636">
        <f t="shared" si="4"/>
        <v>9.4410422020256369E-14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1.4162651723457011E-15</v>
      </c>
      <c r="L122" s="636">
        <f t="shared" si="4"/>
        <v>1.4162651723457011E-15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7.7708326243272425E-13</v>
      </c>
      <c r="L123" s="636">
        <f t="shared" si="4"/>
        <v>7.7708326243272425E-13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3.5361502868102846E-13</v>
      </c>
      <c r="L124" s="636">
        <f t="shared" si="4"/>
        <v>3.5361502868102846E-13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7.7708326243272425E-13</v>
      </c>
      <c r="L125" s="636">
        <f t="shared" si="4"/>
        <v>7.7708326243272425E-13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6.8987855666691368E-6</v>
      </c>
      <c r="L126" s="636">
        <f t="shared" si="4"/>
        <v>6.8987855666691368E-6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1.1373627420738747E-5</v>
      </c>
      <c r="L127" s="636">
        <f t="shared" si="4"/>
        <v>1.1373627420738747E-5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4.9849834655307764E-6</v>
      </c>
      <c r="L128" s="636">
        <f t="shared" si="4"/>
        <v>4.9849834655307764E-6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2.4779709922550555</v>
      </c>
      <c r="L129" s="636">
        <f t="shared" si="4"/>
        <v>2.4779709922550555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5.1014161146116597E-4</v>
      </c>
      <c r="L132" s="636">
        <f t="shared" si="4"/>
        <v>5.1014161146116597E-4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2.7833375487806553E-2</v>
      </c>
      <c r="L133" s="636">
        <f t="shared" si="4"/>
        <v>2.7833375487806553E-2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2477.9386840377138</v>
      </c>
      <c r="L134" s="636">
        <f t="shared" si="4"/>
        <v>2477.9386840377138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1.8973488688493413E-3</v>
      </c>
      <c r="L137" s="636">
        <f t="shared" ref="L137:L151" si="5">IF(ISBLANK(I137),IF(ISNUMBER(J137)=FALSE,K137,J137),I137)</f>
        <v>1.8973488688493413E-3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5.1319450088166082E-4</v>
      </c>
      <c r="L138" s="636">
        <f t="shared" si="5"/>
        <v>5.1319450088166082E-4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2.8326283134461829E-13</v>
      </c>
      <c r="L139" s="636">
        <f t="shared" si="5"/>
        <v>2.8326283134461829E-13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2.8323126606076911E-13</v>
      </c>
      <c r="L140" s="636">
        <f t="shared" si="5"/>
        <v>2.8323126606076911E-13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2.8325303446914023E-13</v>
      </c>
      <c r="L141" s="636">
        <f t="shared" si="5"/>
        <v>2.8325303446914023E-13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3.8732601668996416E-3</v>
      </c>
      <c r="L142" s="636">
        <f t="shared" si="5"/>
        <v>3.8732601668996416E-3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4.6776192822663505E-6</v>
      </c>
      <c r="L143" s="636">
        <f t="shared" si="5"/>
        <v>4.6776192822663505E-6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3.8854163121636212E-14</v>
      </c>
      <c r="L144" s="636">
        <f t="shared" si="5"/>
        <v>3.8854163121636212E-14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7.0723005736205698E-14</v>
      </c>
      <c r="L145" s="636">
        <f t="shared" si="5"/>
        <v>7.0723005736205698E-14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3.8854163121636212E-14</v>
      </c>
      <c r="L146" s="636">
        <f t="shared" si="5"/>
        <v>3.8854163121636212E-14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2.6741789373454676E-10</v>
      </c>
      <c r="L148" s="636">
        <f t="shared" si="5"/>
        <v>2.6741789373454676E-10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1.0402439141446335E-8</v>
      </c>
      <c r="L153" s="636">
        <f t="shared" ref="L153:L173" si="6">IF(ISBLANK(I153),IF(ISNUMBER(J153)=FALSE,K153,J153),I153)</f>
        <v>1.0402439141446335E-8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1.4492916945332459E-10</v>
      </c>
      <c r="L154" s="636">
        <f t="shared" si="6"/>
        <v>1.4492916945332459E-10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3.6294162057623545E-7</v>
      </c>
      <c r="L155" s="636">
        <f t="shared" si="6"/>
        <v>3.6294162057623545E-7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3.4561143227301242E-7</v>
      </c>
      <c r="L156" s="636">
        <f t="shared" si="6"/>
        <v>3.4561143227301242E-7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3.705889640841514E-9</v>
      </c>
      <c r="L157" s="636">
        <f t="shared" si="6"/>
        <v>3.705889640841514E-9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1.482292419935412E-9</v>
      </c>
      <c r="L159" s="636">
        <f t="shared" si="6"/>
        <v>1.482292419935412E-9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2.7501427783497492E-8</v>
      </c>
      <c r="L168" s="636">
        <f t="shared" si="6"/>
        <v>2.7501427783497492E-8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1.0106419913586115E-8</v>
      </c>
      <c r="L169" s="636">
        <f t="shared" si="6"/>
        <v>1.0106419913586115E-8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2.750354147072951E-8</v>
      </c>
      <c r="L170" s="636">
        <f t="shared" si="6"/>
        <v>2.750354147072951E-8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1.0106419913586115E-8</v>
      </c>
      <c r="L171" s="636">
        <f t="shared" si="6"/>
        <v>1.0106419913586115E-8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5.1613740675410107E-8</v>
      </c>
      <c r="L175" s="636">
        <f t="shared" ref="L175:L177" si="7">IF(ISBLANK(I175),IF(ISNUMBER(J175)=FALSE,K175,J175),I175)</f>
        <v>5.1613740675410107E-8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2.3487051222970356E-8</v>
      </c>
      <c r="L176" s="636">
        <f t="shared" si="7"/>
        <v>2.3487051222970356E-8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5.1613740675410107E-8</v>
      </c>
      <c r="L177" s="636">
        <f t="shared" si="7"/>
        <v>5.1613740675410107E-8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4.6921582432191016E-9</v>
      </c>
      <c r="L178" s="636">
        <f t="shared" ref="L178:L180" si="8">IF(ISBLANK(I178),IF(ISNUMBER(J178)=FALSE,K178,J178),I178)</f>
        <v>4.6921582432191016E-9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2.1351864748154871E-9</v>
      </c>
      <c r="L179" s="636">
        <f t="shared" si="8"/>
        <v>2.1351864748154871E-9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4.6921582432191016E-9</v>
      </c>
      <c r="L180" s="636">
        <f t="shared" si="8"/>
        <v>4.6921582432191016E-9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1.5457777937268982E-6</v>
      </c>
      <c r="L193" s="636">
        <f t="shared" ref="L193:L217" si="11">IF(ISBLANK(I193),IF(ISNUMBER(J193)=FALSE,K193,J193),I193)</f>
        <v>1.5457777937268982E-6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2.1524330272611406E-10</v>
      </c>
      <c r="L194" s="636">
        <f>IF(ISBLANK(I194),IF(ISNUMBER(J194)=FALSE,K194,J194),I194)</f>
        <v>2.1524330272611406E-10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2.1521931717207951E-10</v>
      </c>
      <c r="L195" s="636">
        <f t="shared" si="11"/>
        <v>2.1521931717207951E-10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2.1523585836137233E-10</v>
      </c>
      <c r="L196" s="636">
        <f t="shared" si="11"/>
        <v>2.1523585836137233E-10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3.1416462888881063E-9</v>
      </c>
      <c r="L197" s="636">
        <f t="shared" si="11"/>
        <v>3.1416462888881063E-9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1.1817111353210503E-9</v>
      </c>
      <c r="L198" s="636">
        <f t="shared" si="11"/>
        <v>1.1817111353210503E-9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3.0534021961477695E-9</v>
      </c>
      <c r="L199" s="636">
        <f t="shared" si="11"/>
        <v>3.0534021961477695E-9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2.8467460868656887E-9</v>
      </c>
      <c r="L200" s="636">
        <f t="shared" si="11"/>
        <v>2.8467460868656887E-9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3.0534021961477695E-9</v>
      </c>
      <c r="L201" s="636">
        <f t="shared" si="11"/>
        <v>3.0534021961477695E-9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1.54541146784507E-6</v>
      </c>
      <c r="L203" s="636">
        <f t="shared" si="11"/>
        <v>1.54541146784507E-6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2.1524330272611406E-10</v>
      </c>
      <c r="L206" s="636">
        <f>IF(ISBLANK(I206),IF(ISNUMBER(J206)=FALSE,K206,J206),I206)</f>
        <v>2.1524330272611406E-10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2.1521931717207951E-10</v>
      </c>
      <c r="L207" s="636">
        <f t="shared" si="11"/>
        <v>2.1521931717207951E-10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2.1523585836137233E-10</v>
      </c>
      <c r="L208" s="636">
        <f t="shared" si="11"/>
        <v>2.1523585836137233E-10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2.6741789373454681E-10</v>
      </c>
      <c r="L213" s="636">
        <f t="shared" si="11"/>
        <v>2.6741789373454681E-10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2.6741789373454681E-10</v>
      </c>
      <c r="L214" s="636">
        <f t="shared" si="11"/>
        <v>2.6741789373454681E-10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2.6741789373454676E-9</v>
      </c>
      <c r="L215" s="636">
        <f t="shared" si="11"/>
        <v>2.6741789373454676E-9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2.6741789373454676E-9</v>
      </c>
      <c r="L216" s="636">
        <f t="shared" si="11"/>
        <v>2.6741789373454676E-9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2.6741789373454676E-9</v>
      </c>
      <c r="L217" s="636">
        <f t="shared" si="11"/>
        <v>2.6741789373454676E-9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36">
        <f>IF(ISBLANK(I46),IF(ISNUMBER(J46)=FALSE,K46,J46),I46)</f>
        <v>0.48985838853883401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36">
        <f>IF(ISBLANK(I47),IF(ISNUMBER(J47)=FALSE,K47,J47),I47)</f>
        <v>0.13396161315396571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36">
        <f>IF(ISBLANK(I48),IF(ISNUMBER(J48)=FALSE,K48,J48),I48)</f>
        <v>0.37617999830720028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7.3134142984054159E-11</v>
      </c>
      <c r="L49" s="636">
        <f>IF(ISBLANK(I49),IF(ISNUMBER(J49)=FALSE,K49,J49),I49)</f>
        <v>7.3134142984054159E-11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36">
        <f t="shared" ref="L51:L58" si="2">IF(ISBLANK(I51),IF(ISNUMBER(J51)=FALSE,K51,J51),I51)</f>
        <v>13673504046.092884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36">
        <f t="shared" si="2"/>
        <v>38396810905.829605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0.99994877197396703</v>
      </c>
      <c r="L53" s="636">
        <f t="shared" si="2"/>
        <v>0.99994877197396703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0.99994877197396703</v>
      </c>
      <c r="L54" s="636">
        <f t="shared" si="2"/>
        <v>0.99994877197396703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7.6861300956135628</v>
      </c>
      <c r="L55" s="636">
        <f t="shared" si="2"/>
        <v>7.6861300956135628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7.6861300956135628</v>
      </c>
      <c r="L56" s="636">
        <f t="shared" si="2"/>
        <v>7.6861300956135628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12.8</v>
      </c>
      <c r="L61" s="636">
        <f>IF(ISBLANK(I61),IF(ISNUMBER(J61)=FALSE,K61,J61),I61)</f>
        <v>12.8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12.8</v>
      </c>
      <c r="L62" s="636">
        <f>IF(ISBLANK(I62),IF(ISNUMBER(J62)=FALSE,K62,J62),I62)</f>
        <v>12.8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2.7215325239033903</v>
      </c>
      <c r="L65" s="636">
        <f t="shared" ref="L65:L72" si="3">IF(ISBLANK(I65),IF(ISNUMBER(J65)=FALSE,K65,J65),I65)</f>
        <v>2.7215325239033903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3.8430650478067814</v>
      </c>
      <c r="L66" s="636">
        <f t="shared" si="3"/>
        <v>3.8430650478067814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2.5058390286986958</v>
      </c>
      <c r="L68" s="636">
        <f t="shared" si="3"/>
        <v>2.5058390286986958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7.9813586471219486E-2</v>
      </c>
      <c r="L69" s="636">
        <f t="shared" si="3"/>
        <v>7.9813586471219486E-2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0.9201864135229435</v>
      </c>
      <c r="L70" s="636">
        <f t="shared" si="3"/>
        <v>0.9201864135229435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1.5372260191227125</v>
      </c>
      <c r="L71" s="636">
        <f t="shared" si="3"/>
        <v>1.5372260191227125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4.4415670163638715E-6</v>
      </c>
      <c r="L76" s="636">
        <f t="shared" ref="L76:L89" si="4">IF(ISBLANK(I76),IF(ISNUMBER(J76)=FALSE,K76,J76),I76)</f>
        <v>4.4415670163638715E-6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3.7494898323800317E-6</v>
      </c>
      <c r="L77" s="636">
        <f t="shared" si="4"/>
        <v>3.7494898323800317E-6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2.8325303446914022E-15</v>
      </c>
      <c r="L78" s="636">
        <f t="shared" si="4"/>
        <v>2.8325303446914022E-15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7.7708326243272425E-13</v>
      </c>
      <c r="L79" s="636">
        <f t="shared" si="4"/>
        <v>7.7708326243272425E-13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6.9857851638784026E-6</v>
      </c>
      <c r="L80" s="636">
        <f t="shared" si="4"/>
        <v>6.9857851638784026E-6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1.0901039109380899E-5</v>
      </c>
      <c r="L81" s="636">
        <f t="shared" si="4"/>
        <v>1.0901039109380899E-5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4.425395556963663E-6</v>
      </c>
      <c r="L82" s="636">
        <f t="shared" si="4"/>
        <v>4.425395556963663E-6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2.477970432667147</v>
      </c>
      <c r="L83" s="636">
        <f t="shared" si="4"/>
        <v>2.477970432667147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5.1014161146116597E-4</v>
      </c>
      <c r="L86" s="636">
        <f t="shared" si="4"/>
        <v>5.1014161146116597E-4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2.7833375487806553E-2</v>
      </c>
      <c r="L87" s="636">
        <f t="shared" si="4"/>
        <v>2.7833375487806553E-2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2477.9386840377138</v>
      </c>
      <c r="L88" s="636">
        <f t="shared" si="4"/>
        <v>2477.9386840377138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1.8973488688493413E-3</v>
      </c>
      <c r="L92" s="636">
        <f t="shared" si="5"/>
        <v>1.8973488688493413E-3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5.1319450088166082E-4</v>
      </c>
      <c r="L93" s="636">
        <f>IF(ISBLANK(I93),IF(ISNUMBER(J93)=FALSE,K93,J93),I93)</f>
        <v>5.1319450088166082E-4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2.8325303446914023E-13</v>
      </c>
      <c r="L94" s="636">
        <f>IF(ISBLANK(I94),IF(ISNUMBER(J94)=FALSE,K94,J94),I94)</f>
        <v>2.8325303446914023E-13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3.8854163121636212E-14</v>
      </c>
      <c r="L95" s="636">
        <f>IF(ISBLANK(I95),IF(ISNUMBER(J95)=FALSE,K95,J95),I95)</f>
        <v>3.8854163121636212E-14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3.8732601668996416E-3</v>
      </c>
      <c r="L96" s="636">
        <f t="shared" si="5"/>
        <v>3.8732601668996416E-3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4.6776192822663505E-6</v>
      </c>
      <c r="L97" s="636">
        <f t="shared" si="5"/>
        <v>4.6776192822663505E-6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2.6741789373454676E-10</v>
      </c>
      <c r="L100" s="636">
        <f>IF(ISBLANK(I100),IF(ISNUMBER(J100)=FALSE,K100,J100),I100)</f>
        <v>2.6741789373454676E-10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9.66194463022164E-12</v>
      </c>
      <c r="L103" s="636">
        <f t="shared" ref="L103:L109" si="6">IF(ISBLANK(I103),IF(ISNUMBER(J103)=FALSE,K103,J103),I103)</f>
        <v>9.66194463022164E-12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3.4652274158028427E-7</v>
      </c>
      <c r="L104" s="636">
        <f t="shared" si="6"/>
        <v>3.4652274158028427E-7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1.482292419935412E-9</v>
      </c>
      <c r="L105" s="636">
        <f t="shared" si="6"/>
        <v>1.482292419935412E-9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2.750354147072951E-8</v>
      </c>
      <c r="L111" s="636">
        <f>IF(ISBLANK(I111),IF(ISNUMBER(J111)=FALSE,K111,J111),I111)</f>
        <v>2.750354147072951E-8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1.0106419913586115E-8</v>
      </c>
      <c r="L112" s="636">
        <f>IF(ISBLANK(I112),IF(ISNUMBER(J112)=FALSE,K112,J112),I112)</f>
        <v>1.0106419913586115E-8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5.630589891862921E-8</v>
      </c>
      <c r="L116" s="636">
        <f>IF(ISBLANK(I116),IF(ISNUMBER(J116)=FALSE,K116,J116),I116)</f>
        <v>5.630589891862921E-8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1.5457777937268982E-6</v>
      </c>
      <c r="L123" s="636">
        <f t="shared" ref="L123:L138" si="7">IF(ISBLANK(I123),IF(ISNUMBER(J123)=FALSE,K123,J123),I123)</f>
        <v>1.5457777937268982E-6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2.1523585836137233E-10</v>
      </c>
      <c r="L124" s="636">
        <f t="shared" si="7"/>
        <v>2.1523585836137233E-10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2.1523585836137233E-10</v>
      </c>
      <c r="L125" s="636">
        <f t="shared" si="7"/>
        <v>2.1523585836137233E-10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2.7040182804920299E-10</v>
      </c>
      <c r="L126" s="636">
        <f t="shared" si="7"/>
        <v>2.7040182804920299E-10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3.0534021961477695E-9</v>
      </c>
      <c r="L127" s="636">
        <f t="shared" si="7"/>
        <v>3.0534021961477695E-9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1.54541146784507E-6</v>
      </c>
      <c r="L129" s="636">
        <f t="shared" si="7"/>
        <v>1.54541146784507E-6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2.1523585836137233E-10</v>
      </c>
      <c r="L132" s="636">
        <f t="shared" si="7"/>
        <v>2.1523585836137233E-10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2.1523585836137233E-10</v>
      </c>
      <c r="L133" s="636">
        <f t="shared" si="7"/>
        <v>2.1523585836137233E-10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2.6741789373454681E-10</v>
      </c>
      <c r="L137" s="636">
        <f t="shared" si="7"/>
        <v>2.6741789373454681E-10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2.6741789373454676E-9</v>
      </c>
      <c r="L138" s="636">
        <f t="shared" si="7"/>
        <v>2.6741789373454676E-9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36">
        <f>IF(ISBLANK(I182),IF(ISNUMBER(J182)=FALSE,K182,J182),I182)</f>
        <v>9.3209725175231531E-2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36">
        <f>IF(ISBLANK(I183),IF(ISNUMBER(J183)=FALSE,K183,J183),I183)</f>
        <v>0.83521115098201426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36">
        <f>IF(ISBLANK(I184),IF(ISNUMBER(J184)=FALSE,K184,J184),I184)</f>
        <v>7.1579123842754208E-2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36">
        <f>IF(ISBLANK(I185),IF(ISNUMBER(J185)=FALSE,K185,J185),I185)</f>
        <v>2.2320038487426459E-12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36">
        <f t="shared" ref="L187:L194" si="10">IF(ISBLANK(I187),IF(ISNUMBER(J187)=FALSE,K187,J187),I187)</f>
        <v>448027901279.52948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36">
        <f t="shared" si="10"/>
        <v>38396810905.829605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0.99994877197396703</v>
      </c>
      <c r="L189" s="636">
        <f t="shared" si="10"/>
        <v>0.99994877197396703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0.99994877197396703</v>
      </c>
      <c r="L190" s="636">
        <f t="shared" si="10"/>
        <v>0.99994877197396703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7.6861300956135628</v>
      </c>
      <c r="L191" s="636">
        <f t="shared" si="10"/>
        <v>7.6861300956135628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7.6861300956135628</v>
      </c>
      <c r="L192" s="636">
        <f t="shared" si="10"/>
        <v>7.6861300956135628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12.8</v>
      </c>
      <c r="L197" s="636">
        <f>IF(ISBLANK(I197),IF(ISNUMBER(J197)=FALSE,K197,J197),I197)</f>
        <v>12.8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12.8</v>
      </c>
      <c r="L198" s="636">
        <f>IF(ISBLANK(I198),IF(ISNUMBER(J198)=FALSE,K198,J198),I198)</f>
        <v>12.8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2.7215325239033903</v>
      </c>
      <c r="L201" s="636">
        <f t="shared" ref="L201:L208" si="11">IF(ISBLANK(I201),IF(ISNUMBER(J201)=FALSE,K201,J201),I201)</f>
        <v>2.7215325239033903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3.8430650478067814</v>
      </c>
      <c r="L202" s="636">
        <f t="shared" si="11"/>
        <v>3.8430650478067814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2.5058390286845156</v>
      </c>
      <c r="L204" s="636">
        <f t="shared" si="11"/>
        <v>2.5058390286845156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7.9813586471671139E-2</v>
      </c>
      <c r="L205" s="636">
        <f t="shared" si="11"/>
        <v>7.9813586471671139E-2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0.92018641352815067</v>
      </c>
      <c r="L206" s="636">
        <f t="shared" si="11"/>
        <v>0.92018641352815067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1.5372260191227125</v>
      </c>
      <c r="L207" s="636">
        <f t="shared" si="11"/>
        <v>1.5372260191227125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4.9143252258855628E-6</v>
      </c>
      <c r="L212" s="636">
        <f t="shared" ref="L212:L225" si="12">IF(ISBLANK(I212),IF(ISNUMBER(J212)=FALSE,K212,J212),I212)</f>
        <v>4.9143252258855628E-6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3.1708704895485567E-6</v>
      </c>
      <c r="L213" s="636">
        <f t="shared" si="12"/>
        <v>3.1708704895485567E-6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8.6446887106979018E-17</v>
      </c>
      <c r="L214" s="636">
        <f t="shared" si="12"/>
        <v>8.6446887106979018E-17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2.3718379430493608E-14</v>
      </c>
      <c r="L215" s="636">
        <f t="shared" si="12"/>
        <v>2.3718379430493608E-14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7.8295165281209622E-6</v>
      </c>
      <c r="L216" s="636">
        <f t="shared" si="12"/>
        <v>7.8295165281209622E-6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9.0234550564591957E-6</v>
      </c>
      <c r="L217" s="636">
        <f t="shared" si="12"/>
        <v>9.0234550564591957E-6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2.1007288031630026E-6</v>
      </c>
      <c r="L218" s="636">
        <f t="shared" si="12"/>
        <v>2.1007288031630026E-6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5.5175805562711906</v>
      </c>
      <c r="L219" s="636">
        <f t="shared" si="12"/>
        <v>5.5175805562711906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9.067902748247685E-4</v>
      </c>
      <c r="L222" s="636">
        <f t="shared" si="12"/>
        <v>9.067902748247685E-4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1.8914659395282167E-3</v>
      </c>
      <c r="L223" s="636">
        <f t="shared" si="12"/>
        <v>1.8914659395282167E-3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5517.5774708667223</v>
      </c>
      <c r="L224" s="636">
        <f t="shared" si="12"/>
        <v>5517.5774708667223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3.6102551502164307E-4</v>
      </c>
      <c r="L228" s="636">
        <f t="shared" si="13"/>
        <v>3.6102551502164307E-4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9.7659695750429052E-5</v>
      </c>
      <c r="L229" s="636">
        <f>IF(ISBLANK(I229),IF(ISNUMBER(J229)=FALSE,K229,J229),I229)</f>
        <v>9.7659695750429052E-5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8.644688710697902E-15</v>
      </c>
      <c r="L230" s="636">
        <f t="shared" si="13"/>
        <v>8.644688710697902E-15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1.1859189715246805E-15</v>
      </c>
      <c r="L231" s="636">
        <f>IF(ISBLANK(I231),IF(ISNUMBER(J231)=FALSE,K231,J231),I231)</f>
        <v>1.1859189715246805E-15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3.8732601668996416E-3</v>
      </c>
      <c r="L232" s="636">
        <f t="shared" si="13"/>
        <v>3.8732601668996416E-3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4.6776192822663505E-6</v>
      </c>
      <c r="L233" s="636">
        <f t="shared" si="13"/>
        <v>4.6776192822663505E-6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5.8200199506518189E-11</v>
      </c>
      <c r="L236" s="636">
        <f>IF(ISBLANK(I236),IF(ISNUMBER(J236)=FALSE,K236,J236),I236)</f>
        <v>5.8200199506518189E-11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9.66194463022164E-12</v>
      </c>
      <c r="L239" s="636">
        <f t="shared" ref="L239:L245" si="14">IF(ISBLANK(I239),IF(ISNUMBER(J239)=FALSE,K239,J239),I239)</f>
        <v>9.66194463022164E-12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3.4652361152846669E-7</v>
      </c>
      <c r="L240" s="636">
        <f t="shared" si="14"/>
        <v>3.4652361152846669E-7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1.482292419935412E-9</v>
      </c>
      <c r="L241" s="636">
        <f t="shared" si="14"/>
        <v>1.482292419935412E-9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2.750354147072951E-8</v>
      </c>
      <c r="L247" s="636">
        <f>IF(ISBLANK(I247),IF(ISNUMBER(J247)=FALSE,K247,J247),I247)</f>
        <v>2.750354147072951E-8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1.0106419913586115E-8</v>
      </c>
      <c r="L248" s="636">
        <f>IF(ISBLANK(I248),IF(ISNUMBER(J248)=FALSE,K248,J248),I248)</f>
        <v>1.0106419913586115E-8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2.0124792019013467E-8</v>
      </c>
      <c r="L252" s="636">
        <f>IF(ISBLANK(I252),IF(ISNUMBER(J252)=FALSE,K252,J252),I252)</f>
        <v>2.0124792019013467E-8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2.4628381466129294E-7</v>
      </c>
      <c r="L259" s="636">
        <f t="shared" ref="L259:L274" si="15">IF(ISBLANK(I259),IF(ISNUMBER(J259)=FALSE,K259,J259),I259)</f>
        <v>2.4628381466129294E-7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4.6843424434504381E-11</v>
      </c>
      <c r="L260" s="636">
        <f t="shared" si="15"/>
        <v>4.6843424434504381E-11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4.6843424434504381E-11</v>
      </c>
      <c r="L261" s="636">
        <f t="shared" si="15"/>
        <v>4.6843424434504381E-11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6.031418563876915E-11</v>
      </c>
      <c r="L262" s="636">
        <f t="shared" si="15"/>
        <v>6.031418563876915E-11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7.1743887320962765E-10</v>
      </c>
      <c r="L263" s="636">
        <f t="shared" si="15"/>
        <v>7.1743887320962765E-10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2.4591748877946477E-7</v>
      </c>
      <c r="L265" s="636">
        <f t="shared" si="15"/>
        <v>2.4591748877946477E-7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36">
        <f t="shared" si="15"/>
        <v>4.6843424434504381E-11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36">
        <f t="shared" si="15"/>
        <v>4.6843424434504381E-11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5.8200199506518201E-11</v>
      </c>
      <c r="L273" s="636">
        <f t="shared" si="15"/>
        <v>5.8200199506518201E-11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5.8200199506518189E-10</v>
      </c>
      <c r="L274" s="636">
        <f t="shared" si="15"/>
        <v>5.8200199506518189E-10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36">
        <f>IF(ISBLANK(I318),IF(ISNUMBER(J318)=FALSE,K318,J318),I318)</f>
        <v>0.55176159029624605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36">
        <f>IF(ISBLANK(I319),IF(ISNUMBER(J319)=FALSE,K319,J319),I319)</f>
        <v>2.4520700749658307E-2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36">
        <f>IF(ISBLANK(I320),IF(ISNUMBER(J320)=FALSE,K320,J320),I320)</f>
        <v>0.42371770895409566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36">
        <f>IF(ISBLANK(I321),IF(ISNUMBER(J321)=FALSE,K321,J321),I321)</f>
        <v>4.5003737530130299E-10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36">
        <f t="shared" ref="L323:L330" si="18">IF(ISBLANK(I323),IF(ISNUMBER(J323)=FALSE,K323,J323),I323)</f>
        <v>2222037668.1614351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36">
        <f t="shared" si="18"/>
        <v>38396810905.829605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36">
        <f t="shared" si="18"/>
        <v>0.99994877197396703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36">
        <f t="shared" si="18"/>
        <v>0.99994877197396703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7.6861300956135628</v>
      </c>
      <c r="L327" s="636">
        <f t="shared" si="18"/>
        <v>7.6861300956135628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7.6861300956135628</v>
      </c>
      <c r="L328" s="636">
        <f t="shared" si="18"/>
        <v>7.6861300956135628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12.8</v>
      </c>
      <c r="L333" s="636">
        <f>IF(ISBLANK(I333),IF(ISNUMBER(J333)=FALSE,K333,J333),I333)</f>
        <v>12.8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12.8</v>
      </c>
      <c r="L334" s="636">
        <f>IF(ISBLANK(I334),IF(ISNUMBER(J334)=FALSE,K334,J334),I334)</f>
        <v>12.8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2.7215325239033903</v>
      </c>
      <c r="L337" s="636">
        <f t="shared" ref="L337:L344" si="19">IF(ISBLANK(I337),IF(ISNUMBER(J337)=FALSE,K337,J337),I337)</f>
        <v>2.7215325239033903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3.8430650478067814</v>
      </c>
      <c r="L338" s="636">
        <f t="shared" si="19"/>
        <v>3.8430650478067814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2.5058390287740764</v>
      </c>
      <c r="L340" s="636">
        <f t="shared" si="19"/>
        <v>2.5058390287740764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7.9813586468818545E-2</v>
      </c>
      <c r="L341" s="636">
        <f t="shared" si="19"/>
        <v>7.9813586468818545E-2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0.92018641349526231</v>
      </c>
      <c r="L342" s="636">
        <f t="shared" si="19"/>
        <v>0.92018641349526231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1.5372260191227125</v>
      </c>
      <c r="L343" s="636">
        <f t="shared" si="19"/>
        <v>1.5372260191227125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6.3396114777620021E-6</v>
      </c>
      <c r="L348" s="636">
        <f t="shared" ref="L348:L361" si="20">IF(ISBLANK(I348),IF(ISNUMBER(J348)=FALSE,K348,J348),I348)</f>
        <v>6.3396114777620021E-6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2.2492260137257923E-6</v>
      </c>
      <c r="L349" s="636">
        <f t="shared" si="20"/>
        <v>2.2492260137257923E-6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1.7430218936559197E-14</v>
      </c>
      <c r="L350" s="636">
        <f t="shared" si="20"/>
        <v>1.7430218936559197E-14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4.7810306376587074E-12</v>
      </c>
      <c r="L351" s="636">
        <f t="shared" si="20"/>
        <v>4.7810306376587074E-12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6.9194724324493268E-6</v>
      </c>
      <c r="L352" s="636">
        <f t="shared" si="20"/>
        <v>6.9194724324493268E-6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1.0923229096045866E-5</v>
      </c>
      <c r="L353" s="636">
        <f t="shared" si="20"/>
        <v>1.0923229096045866E-5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4.4519950733002928E-6</v>
      </c>
      <c r="L354" s="636">
        <f t="shared" si="20"/>
        <v>4.4519950733002928E-6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0.84240407316523302</v>
      </c>
      <c r="L355" s="636">
        <f t="shared" si="20"/>
        <v>0.84240407316523302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4.4823840970375394E-4</v>
      </c>
      <c r="L358" s="636">
        <f t="shared" si="20"/>
        <v>4.4823840970375394E-4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5.8222668446677277E-2</v>
      </c>
      <c r="L359" s="636">
        <f t="shared" si="20"/>
        <v>5.8222668446677277E-2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842.34184674012272</v>
      </c>
      <c r="L360" s="636">
        <f t="shared" si="20"/>
        <v>842.34184674012272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2.1371153929249623E-3</v>
      </c>
      <c r="L364" s="636">
        <f t="shared" si="21"/>
        <v>2.1371153929249623E-3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5.7794761330331329E-4</v>
      </c>
      <c r="L365" s="636">
        <f>IF(ISBLANK(I365),IF(ISNUMBER(J365)=FALSE,K365,J365),I365)</f>
        <v>5.7794761330331329E-4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1.7430218936559196E-12</v>
      </c>
      <c r="L366" s="636">
        <f t="shared" si="21"/>
        <v>1.7430218936559196E-12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2.3905153188293539E-13</v>
      </c>
      <c r="L367" s="636">
        <f>IF(ISBLANK(I367),IF(ISNUMBER(J367)=FALSE,K367,J367),I367)</f>
        <v>2.3905153188293539E-13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3.8732601668996416E-3</v>
      </c>
      <c r="L368" s="636">
        <f t="shared" si="21"/>
        <v>3.8732601668996416E-3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4.6776192822663505E-6</v>
      </c>
      <c r="L369" s="636">
        <f t="shared" si="21"/>
        <v>4.6776192822663505E-6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6.5846009179950351E-10</v>
      </c>
      <c r="L372" s="636">
        <f>IF(ISBLANK(I372),IF(ISNUMBER(J372)=FALSE,K372,J372),I372)</f>
        <v>6.5846009179950351E-10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9.66194463022164E-12</v>
      </c>
      <c r="L375" s="636">
        <f t="shared" ref="L375:L381" si="22">IF(ISBLANK(I375),IF(ISNUMBER(J375)=FALSE,K375,J375),I375)</f>
        <v>9.66194463022164E-12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3.4652361152846669E-7</v>
      </c>
      <c r="L376" s="636">
        <f t="shared" si="22"/>
        <v>3.4652361152846669E-7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1.482292419935412E-9</v>
      </c>
      <c r="L377" s="636">
        <f t="shared" si="22"/>
        <v>1.482292419935412E-9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2.750354147072951E-8</v>
      </c>
      <c r="L383" s="636">
        <f>IF(ISBLANK(I383),IF(ISNUMBER(J383)=FALSE,K383,J383),I383)</f>
        <v>2.750354147072951E-8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1.0106419913586115E-8</v>
      </c>
      <c r="L384" s="636">
        <f>IF(ISBLANK(I384),IF(ISNUMBER(J384)=FALSE,K384,J384),I384)</f>
        <v>1.0106419913586115E-8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1.0454737478179092E-7</v>
      </c>
      <c r="L388" s="636">
        <f>IF(ISBLANK(I388),IF(ISNUMBER(J388)=FALSE,K388,J388),I388)</f>
        <v>1.0454737478179092E-7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1.9350341756746508E-6</v>
      </c>
      <c r="L395" s="636">
        <f t="shared" ref="L395:L410" si="23">IF(ISBLANK(I395),IF(ISNUMBER(J395)=FALSE,K395,J395),I395)</f>
        <v>1.9350341756746508E-6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5.2997284914620253E-10</v>
      </c>
      <c r="L396" s="636">
        <f t="shared" si="23"/>
        <v>5.2997284914620253E-10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5.2997284914620253E-10</v>
      </c>
      <c r="L397" s="636">
        <f t="shared" si="23"/>
        <v>5.2997284914620253E-10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6.6057407793175462E-10</v>
      </c>
      <c r="L398" s="636">
        <f t="shared" si="23"/>
        <v>6.6057407793175462E-10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7.2888726843209816E-9</v>
      </c>
      <c r="L399" s="636">
        <f t="shared" si="23"/>
        <v>7.2888726843209816E-9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1.9346678497928229E-6</v>
      </c>
      <c r="L401" s="636">
        <f t="shared" si="23"/>
        <v>1.9346678497928229E-6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5.2997284914620253E-10</v>
      </c>
      <c r="L404" s="636">
        <f t="shared" si="23"/>
        <v>5.2997284914620253E-10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5.2997284914620253E-10</v>
      </c>
      <c r="L405" s="636">
        <f t="shared" si="23"/>
        <v>5.2997284914620253E-10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6.5846009179950362E-10</v>
      </c>
      <c r="L409" s="636">
        <f t="shared" si="23"/>
        <v>6.5846009179950362E-10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6.5846009179950347E-9</v>
      </c>
      <c r="L410" s="636">
        <f t="shared" si="23"/>
        <v>6.5846009179950347E-9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-1.7833245799326521E-5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7.7708326243272425E-13</v>
      </c>
      <c r="K9" s="179">
        <f>k.s2R.aR</f>
        <v>3.5361502868102846E-13</v>
      </c>
      <c r="L9" s="179">
        <f>k.s3R.aR</f>
        <v>7.7708326243272425E-13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2.042092426847822E-8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4.6921582432191008E-9</v>
      </c>
      <c r="K10" s="655">
        <f>k.s2R.w0R</f>
        <v>2.1351864748154871E-9</v>
      </c>
      <c r="L10" s="655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2.2463016695326045E-7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3.573684082509208E-8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3.4441239218126568E-7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-3.6608326686512366E-7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-3.4679314340833358E-7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1.8333660620144195E-6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-5.9360078198039415E-8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4.074146804476487E-6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-2.8469337399680212E-8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6.7902446741274783E-7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-5.9360078198039415E-8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-1.1373993746620577E-5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179">
        <f>k.s1C.aC</f>
        <v>7.7708326243272425E-13</v>
      </c>
      <c r="T18" s="179">
        <f>k.s2C.aC</f>
        <v>3.5361502868102846E-13</v>
      </c>
      <c r="U18" s="179">
        <f>k.s3C.aC</f>
        <v>7.7708326243272425E-13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1.0647608174708385E-8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4.6921582432191016E-9</v>
      </c>
      <c r="T19" s="179">
        <f>k.s2C.w0C</f>
        <v>2.1351864748154871E-9</v>
      </c>
      <c r="U19" s="179">
        <f>k.s3C.w0C</f>
        <v>4.6921582432191016E-9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1.1712368992179221E-7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179">
        <f>k.s1C.w1C</f>
        <v>5.1613740675410107E-8</v>
      </c>
      <c r="T20" s="179">
        <f>k.s2C.w1C</f>
        <v>2.3487051222970356E-8</v>
      </c>
      <c r="U20" s="179">
        <f>k.s3C.w1C</f>
        <v>5.1613740675410107E-8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4.537091165635125E-6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3.4561143227301242E-7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-3.6608326686512355E-7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-3.4679314340833348E-7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9.6898755865419947E-7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-5.9360078198039409E-8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2.1533056858982208E-6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-2.8469337399680212E-8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3.5888428098303675E-7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-5.9360078198039409E-8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-1.0901405435262727E-5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7.7708326243272425E-13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4.4415670163638715E-6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-3.4679314340833348E-7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3.7494898323800317E-6</v>
      </c>
      <c r="W31" s="376">
        <v>0</v>
      </c>
      <c r="X31" s="376">
        <v>0</v>
      </c>
      <c r="Y31" s="376">
        <v>0</v>
      </c>
      <c r="Z31" s="378">
        <f>-k.sM-SUM(Z9:Z30,Z32:Z41)</f>
        <v>-5.9360078198039409E-8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-9.0238213823410237E-6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2.3718379430493608E-14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4.9143252258855628E-6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-3.4658392571410544E-7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3.1708704895485567E-6</v>
      </c>
      <c r="AB36" s="376">
        <v>0</v>
      </c>
      <c r="AC36" s="376">
        <v>0</v>
      </c>
      <c r="AD36" s="376">
        <v>0</v>
      </c>
      <c r="AE36" s="378">
        <f>-k.sA-SUM(AE9:AE35,AE37:AE41)</f>
        <v>-2.0842254610602524E-8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-1.0923595421927693E-5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4.7810306376587074E-12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6.3396114777620021E-6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-3.4718418560639846E-7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2.2492260137257923E-6</v>
      </c>
      <c r="AG41" s="373">
        <v>0</v>
      </c>
      <c r="AH41" s="373">
        <v>0</v>
      </c>
      <c r="AI41" s="373">
        <v>0</v>
      </c>
      <c r="AJ41" s="381">
        <f>-k.sT-SUM(AJ9:AJ40)</f>
        <v>-1.1184102849674956E-7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12503625041.209549</v>
      </c>
      <c r="D45" s="370">
        <f t="array" ref="D45:AJ45">TRANSPOSE(MMULT(MINVERSE(D9:AJ41),-TRANSPOSE(D5:AJ5)))</f>
        <v>80868.094469903546</v>
      </c>
      <c r="E45" s="370">
        <v>57059327.443470888</v>
      </c>
      <c r="F45" s="370">
        <v>43845386.87537843</v>
      </c>
      <c r="G45" s="370">
        <v>2328591.9823089936</v>
      </c>
      <c r="H45" s="370">
        <v>1245888.5993615626</v>
      </c>
      <c r="I45" s="370">
        <v>19462.95123801479</v>
      </c>
      <c r="J45" s="370">
        <v>2497652.0314926743</v>
      </c>
      <c r="K45" s="370">
        <v>61519951.454031087</v>
      </c>
      <c r="L45" s="370">
        <v>925056.3079602496</v>
      </c>
      <c r="M45" s="370">
        <v>67073.017677370764</v>
      </c>
      <c r="N45" s="370">
        <v>7114395.8930942006</v>
      </c>
      <c r="O45" s="370">
        <v>3036450.2662956524</v>
      </c>
      <c r="P45" s="370">
        <v>143036913.63053936</v>
      </c>
      <c r="Q45" s="370">
        <v>86282.253137799053</v>
      </c>
      <c r="R45" s="370">
        <v>59776.905880841136</v>
      </c>
      <c r="S45" s="370">
        <v>1094892.7566088028</v>
      </c>
      <c r="T45" s="370">
        <v>5073132.1318583498</v>
      </c>
      <c r="U45" s="370">
        <v>405515.83578103781</v>
      </c>
      <c r="V45" s="370">
        <v>8543.4411536737407</v>
      </c>
      <c r="W45" s="370">
        <v>140323196.02934319</v>
      </c>
      <c r="X45" s="370">
        <v>4104172782.9086914</v>
      </c>
      <c r="Y45" s="370">
        <v>114345.65802425705</v>
      </c>
      <c r="Z45" s="370">
        <v>539647.97068435885</v>
      </c>
      <c r="AA45" s="370">
        <v>359.13101282853791</v>
      </c>
      <c r="AB45" s="370">
        <v>110212312.31346571</v>
      </c>
      <c r="AC45" s="370">
        <v>2701984233.1595106</v>
      </c>
      <c r="AD45" s="370">
        <v>75324.964938085628</v>
      </c>
      <c r="AE45" s="370">
        <v>54636.983941286519</v>
      </c>
      <c r="AF45" s="370">
        <v>514.10052621071713</v>
      </c>
      <c r="AG45" s="370">
        <v>153717696.10092276</v>
      </c>
      <c r="AH45" s="370">
        <v>4962776379.649251</v>
      </c>
      <c r="AI45" s="370">
        <v>138111.33277453974</v>
      </c>
      <c r="AJ45" s="371">
        <v>10339.034724245848</v>
      </c>
    </row>
    <row r="46" spans="1:36" ht="12.75" customHeight="1" x14ac:dyDescent="0.3">
      <c r="B46" s="255" t="s">
        <v>2410</v>
      </c>
      <c r="C46" s="531">
        <f>SUM(D46:AJ46)</f>
        <v>24612637918.034172</v>
      </c>
      <c r="D46" s="383">
        <f>D45</f>
        <v>80868.094469903546</v>
      </c>
      <c r="E46" s="383"/>
      <c r="F46" s="383">
        <f t="shared" ref="F46:AJ46" si="0">F45</f>
        <v>43845386.87537843</v>
      </c>
      <c r="G46" s="383">
        <f t="shared" si="0"/>
        <v>2328591.9823089936</v>
      </c>
      <c r="H46" s="383">
        <f t="shared" si="0"/>
        <v>1245888.5993615626</v>
      </c>
      <c r="I46" s="383">
        <f t="shared" si="0"/>
        <v>19462.95123801479</v>
      </c>
      <c r="J46" s="383">
        <f t="shared" si="0"/>
        <v>2497652.0314926743</v>
      </c>
      <c r="K46" s="383">
        <f t="shared" si="0"/>
        <v>61519951.454031087</v>
      </c>
      <c r="L46" s="383">
        <f t="shared" si="0"/>
        <v>925056.3079602496</v>
      </c>
      <c r="M46" s="383">
        <f t="shared" si="0"/>
        <v>67073.017677370764</v>
      </c>
      <c r="N46" s="383"/>
      <c r="O46" s="383">
        <f t="shared" si="0"/>
        <v>3036450.2662956524</v>
      </c>
      <c r="P46" s="383">
        <f t="shared" si="0"/>
        <v>143036913.63053936</v>
      </c>
      <c r="Q46" s="383">
        <f t="shared" si="0"/>
        <v>86282.253137799053</v>
      </c>
      <c r="R46" s="383">
        <f t="shared" si="0"/>
        <v>59776.905880841136</v>
      </c>
      <c r="S46" s="383">
        <f t="shared" si="0"/>
        <v>1094892.7566088028</v>
      </c>
      <c r="T46" s="383">
        <f t="shared" si="0"/>
        <v>5073132.1318583498</v>
      </c>
      <c r="U46" s="383">
        <f t="shared" si="0"/>
        <v>405515.83578103781</v>
      </c>
      <c r="V46" s="383">
        <f t="shared" si="0"/>
        <v>8543.4411536737407</v>
      </c>
      <c r="W46" s="383">
        <f>SUM(W45:X45)</f>
        <v>4244495978.9380345</v>
      </c>
      <c r="X46" s="383">
        <f>SUM(W45:X45)</f>
        <v>4244495978.9380345</v>
      </c>
      <c r="Y46" s="383">
        <f t="shared" si="0"/>
        <v>114345.65802425705</v>
      </c>
      <c r="Z46" s="383">
        <f t="shared" si="0"/>
        <v>539647.97068435885</v>
      </c>
      <c r="AA46" s="383">
        <f t="shared" si="0"/>
        <v>359.13101282853791</v>
      </c>
      <c r="AB46" s="383">
        <f>SUM(AB45:AC45)</f>
        <v>2812196545.4729762</v>
      </c>
      <c r="AC46" s="383">
        <f>SUM(AB45:AC45)</f>
        <v>2812196545.4729762</v>
      </c>
      <c r="AD46" s="383">
        <f t="shared" si="0"/>
        <v>75324.964938085628</v>
      </c>
      <c r="AE46" s="383">
        <f t="shared" si="0"/>
        <v>54636.983941286519</v>
      </c>
      <c r="AF46" s="383">
        <f t="shared" si="0"/>
        <v>514.10052621071713</v>
      </c>
      <c r="AG46" s="383">
        <f>SUM(AG45:AH45)</f>
        <v>5116494075.7501736</v>
      </c>
      <c r="AH46" s="383">
        <f>SUM(AG45:AH45)</f>
        <v>5116494075.7501736</v>
      </c>
      <c r="AI46" s="383">
        <f t="shared" si="0"/>
        <v>138111.33277453974</v>
      </c>
      <c r="AJ46" s="384">
        <f t="shared" si="0"/>
        <v>10339.034724245848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1.5654970484556463</v>
      </c>
      <c r="G48" s="515">
        <f t="shared" si="1"/>
        <v>1.7574321276189437</v>
      </c>
      <c r="H48" s="515" t="str">
        <f t="shared" si="1"/>
        <v/>
      </c>
      <c r="I48" s="515" t="str">
        <f t="shared" si="1"/>
        <v/>
      </c>
      <c r="J48" s="515">
        <f t="shared" si="1"/>
        <v>3.0414223745779592</v>
      </c>
      <c r="K48" s="515">
        <f t="shared" si="1"/>
        <v>0.47481722298794915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2.9640824576002096</v>
      </c>
      <c r="P48" s="515">
        <f t="shared" si="1"/>
        <v>1.925340027105839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2.1077277409292088</v>
      </c>
      <c r="U48" s="515" t="str">
        <f t="shared" si="1"/>
        <v/>
      </c>
      <c r="V48" s="515" t="str">
        <f t="shared" si="1"/>
        <v/>
      </c>
      <c r="W48" s="515">
        <f t="shared" si="1"/>
        <v>2.9781221856334819</v>
      </c>
      <c r="X48" s="515">
        <f t="shared" si="1"/>
        <v>2.9781221856334819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2.1431970862444674</v>
      </c>
      <c r="AC48" s="515">
        <f t="shared" si="1"/>
        <v>2.1431970862444674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3.6674953365672582</v>
      </c>
      <c r="AH48" s="515">
        <f t="shared" si="1"/>
        <v>3.6674953365672582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</v>
      </c>
      <c r="D49" s="151">
        <f t="shared" ref="D49:AJ49" si="2">D45/SUM($D45:$AJ45)</f>
        <v>6.4675719404075075E-6</v>
      </c>
      <c r="E49" s="151">
        <f t="shared" si="2"/>
        <v>4.5634227878246746E-3</v>
      </c>
      <c r="F49" s="151">
        <f t="shared" si="2"/>
        <v>3.5066140204038786E-3</v>
      </c>
      <c r="G49" s="151">
        <f t="shared" si="2"/>
        <v>1.8623335029916533E-4</v>
      </c>
      <c r="H49" s="151">
        <f t="shared" si="2"/>
        <v>9.9642191384926603E-5</v>
      </c>
      <c r="I49" s="151">
        <f t="shared" si="2"/>
        <v>1.5565846843510291E-6</v>
      </c>
      <c r="J49" s="151">
        <f t="shared" si="2"/>
        <v>1.9975423313326273E-4</v>
      </c>
      <c r="K49" s="151">
        <f t="shared" si="2"/>
        <v>4.9201692510190548E-3</v>
      </c>
      <c r="L49" s="151">
        <f t="shared" si="2"/>
        <v>7.3983049308615824E-5</v>
      </c>
      <c r="M49" s="151">
        <f t="shared" si="2"/>
        <v>5.3642857536363233E-6</v>
      </c>
      <c r="N49" s="151">
        <f t="shared" si="2"/>
        <v>5.6898666343932394E-4</v>
      </c>
      <c r="O49" s="151">
        <f t="shared" si="2"/>
        <v>2.4284559528041627E-4</v>
      </c>
      <c r="P49" s="151">
        <f t="shared" si="2"/>
        <v>1.143963555841743E-2</v>
      </c>
      <c r="Q49" s="151">
        <f t="shared" si="2"/>
        <v>6.9005790603468434E-6</v>
      </c>
      <c r="R49" s="151">
        <f t="shared" si="2"/>
        <v>4.7807660325567925E-6</v>
      </c>
      <c r="S49" s="151">
        <f t="shared" si="2"/>
        <v>8.75660260924529E-5</v>
      </c>
      <c r="T49" s="151">
        <f t="shared" si="2"/>
        <v>4.0573290666812861E-4</v>
      </c>
      <c r="U49" s="151">
        <f t="shared" si="2"/>
        <v>3.2431861515723271E-5</v>
      </c>
      <c r="V49" s="151">
        <f t="shared" si="2"/>
        <v>6.8327713967079129E-7</v>
      </c>
      <c r="W49" s="151">
        <f t="shared" si="2"/>
        <v>1.1222601091032789E-2</v>
      </c>
      <c r="X49" s="151">
        <f t="shared" si="2"/>
        <v>0.32823863234718936</v>
      </c>
      <c r="Y49" s="151">
        <f t="shared" si="2"/>
        <v>9.1450005616287834E-6</v>
      </c>
      <c r="Z49" s="151">
        <f t="shared" si="2"/>
        <v>4.3159321309282923E-5</v>
      </c>
      <c r="AA49" s="151">
        <f t="shared" si="2"/>
        <v>2.872215150765566E-8</v>
      </c>
      <c r="AB49" s="151">
        <f t="shared" si="2"/>
        <v>8.8144287716743815E-3</v>
      </c>
      <c r="AC49" s="151">
        <f t="shared" si="2"/>
        <v>0.21609607008001991</v>
      </c>
      <c r="AD49" s="151">
        <f t="shared" si="2"/>
        <v>6.0242501426449528E-6</v>
      </c>
      <c r="AE49" s="151">
        <f t="shared" si="2"/>
        <v>4.3696914903648748E-6</v>
      </c>
      <c r="AF49" s="151">
        <f t="shared" si="2"/>
        <v>4.1116118287004005E-8</v>
      </c>
      <c r="AG49" s="151">
        <f t="shared" si="2"/>
        <v>1.2293850430918933E-2</v>
      </c>
      <c r="AH49" s="151">
        <f t="shared" si="2"/>
        <v>0.39690700603168222</v>
      </c>
      <c r="AI49" s="151">
        <f t="shared" si="2"/>
        <v>1.1045703331581945E-5</v>
      </c>
      <c r="AJ49" s="253">
        <f t="shared" si="2"/>
        <v>8.268829791496765E-7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3.5225898187874522E-10</v>
      </c>
      <c r="E50" s="179">
        <f t="shared" si="3"/>
        <v>9.985444711636854E-4</v>
      </c>
      <c r="F50" s="179">
        <f t="shared" si="3"/>
        <v>2.3251486846614686E-3</v>
      </c>
      <c r="G50" s="179">
        <f t="shared" si="3"/>
        <v>2.3285919823089909E-4</v>
      </c>
      <c r="H50" s="179">
        <f t="shared" si="3"/>
        <v>6.607026290528663E-3</v>
      </c>
      <c r="I50" s="179">
        <f t="shared" si="3"/>
        <v>6.48765041267159E-4</v>
      </c>
      <c r="J50" s="179">
        <f t="shared" si="3"/>
        <v>8.0942932839852091E-4</v>
      </c>
      <c r="K50" s="179">
        <f t="shared" si="3"/>
        <v>2.2429289150672693E-3</v>
      </c>
      <c r="L50" s="179">
        <f t="shared" si="3"/>
        <v>8.0942932839852091E-4</v>
      </c>
      <c r="M50" s="179">
        <f t="shared" si="3"/>
        <v>9.3166673858208515E-12</v>
      </c>
      <c r="N50" s="179">
        <f t="shared" si="3"/>
        <v>8.1637664300073447E-6</v>
      </c>
      <c r="O50" s="179">
        <f t="shared" si="3"/>
        <v>1.0558562003213181E-5</v>
      </c>
      <c r="P50" s="179">
        <f t="shared" si="3"/>
        <v>1.9259509942416721E-7</v>
      </c>
      <c r="Q50" s="179">
        <f t="shared" si="3"/>
        <v>3.0002682067432311E-5</v>
      </c>
      <c r="R50" s="179">
        <f t="shared" si="3"/>
        <v>5.365859222012574E-7</v>
      </c>
      <c r="S50" s="179">
        <f t="shared" si="3"/>
        <v>2.3266462934675024E-5</v>
      </c>
      <c r="T50" s="179">
        <f t="shared" si="3"/>
        <v>1.2127952257940576E-5</v>
      </c>
      <c r="U50" s="179">
        <f t="shared" si="3"/>
        <v>2.3266462934675017E-5</v>
      </c>
      <c r="V50" s="179">
        <f t="shared" si="3"/>
        <v>1.1013679505292739E-13</v>
      </c>
      <c r="W50" s="179">
        <f t="shared" si="3"/>
        <v>3.6179208832286212E-8</v>
      </c>
      <c r="X50" s="179">
        <f t="shared" si="3"/>
        <v>3.5272316195342065E-8</v>
      </c>
      <c r="Y50" s="179">
        <f t="shared" si="3"/>
        <v>9.8271598656663516E-8</v>
      </c>
      <c r="Z50" s="179">
        <f t="shared" si="3"/>
        <v>2.7827240513002835E-7</v>
      </c>
      <c r="AA50" s="179">
        <f t="shared" si="3"/>
        <v>8.4501414783185392E-15</v>
      </c>
      <c r="AB50" s="179">
        <f t="shared" si="3"/>
        <v>4.322051463273165E-8</v>
      </c>
      <c r="AC50" s="179">
        <f t="shared" si="3"/>
        <v>3.5320055335418439E-8</v>
      </c>
      <c r="AD50" s="179">
        <f t="shared" si="3"/>
        <v>9.8464006455013893E-8</v>
      </c>
      <c r="AE50" s="179">
        <f t="shared" si="3"/>
        <v>6.4278804636807674E-8</v>
      </c>
      <c r="AF50" s="179">
        <f t="shared" si="3"/>
        <v>4.0321609898879773E-15</v>
      </c>
      <c r="AG50" s="179">
        <f t="shared" si="3"/>
        <v>1.7223271271812077E-8</v>
      </c>
      <c r="AH50" s="179">
        <f t="shared" si="3"/>
        <v>1.8535112529035487E-8</v>
      </c>
      <c r="AI50" s="179">
        <f t="shared" si="3"/>
        <v>5.1582197114674038E-8</v>
      </c>
      <c r="AJ50" s="380">
        <f t="shared" si="3"/>
        <v>5.406031228363841E-9</v>
      </c>
    </row>
    <row r="51" spans="1:36" ht="12.75" customHeight="1" x14ac:dyDescent="0.3">
      <c r="B51" s="141" t="s">
        <v>703</v>
      </c>
      <c r="C51" s="254"/>
      <c r="D51" s="385">
        <f>D50*8.314*TEMP.R</f>
        <v>8.3467413497186804E-7</v>
      </c>
      <c r="E51" s="385">
        <f>E50*Kaw.R*8.314*TEMP.R</f>
        <v>1.7303839096414515E-10</v>
      </c>
      <c r="F51" s="385">
        <f>F50*Kaw.R*8.314*TEMP.R</f>
        <v>4.0292645822507976E-10</v>
      </c>
      <c r="G51" s="385">
        <f>G50*Kaw.R*8.314*TEMP.R</f>
        <v>4.0352314941084488E-11</v>
      </c>
      <c r="H51" s="385">
        <f>H50*Kaw.R/Ksdw1.R*8.314*TEMP.R</f>
        <v>4.2069520581528539E-10</v>
      </c>
      <c r="I51" s="385">
        <f>I50*Kaw.R/Ksdw2.R*8.314*TEMP.R</f>
        <v>4.1309407676022866E-11</v>
      </c>
      <c r="J51" s="385">
        <f>J50*Kaw.R/Ks1w.R*8.314*TEMP.R</f>
        <v>5.5975866338455457E-11</v>
      </c>
      <c r="K51" s="385">
        <f>K50*Kaw.R/Ks2w.R*8.314*TEMP.R</f>
        <v>1.5510914264110797E-10</v>
      </c>
      <c r="L51" s="385">
        <f>L50*Kaw.R/Ks3w.R*8.314*TEMP.R</f>
        <v>5.5975866338455457E-11</v>
      </c>
      <c r="M51" s="385">
        <f>M50*8.314*TEMP.C</f>
        <v>2.2075750204028649E-8</v>
      </c>
      <c r="N51" s="385">
        <f>N50*Kaw.C*8.314*TEMP.C</f>
        <v>1.4147041499406672E-12</v>
      </c>
      <c r="O51" s="385">
        <f>O50*Kaw.C*8.314*TEMP.C</f>
        <v>1.829699760694659E-12</v>
      </c>
      <c r="P51" s="385">
        <f>P50*Kaw.C*8.314*TEMP.C</f>
        <v>3.3374924276631902E-14</v>
      </c>
      <c r="Q51" s="385">
        <f>Q50*Kaw.C/Ksdw1.C*8.314*TEMP.C</f>
        <v>1.9103881159763114E-12</v>
      </c>
      <c r="R51" s="385">
        <f>R50*Kaw.C/Ksdw2.C*8.314*TEMP.C</f>
        <v>3.4166524401703292E-14</v>
      </c>
      <c r="S51" s="385">
        <f>S50*Kaw.C/Ks1w.C*8.314*TEMP.C</f>
        <v>1.6089859530748097E-12</v>
      </c>
      <c r="T51" s="385">
        <f>T50*Kaw.C/Ks2w.C*8.314*TEMP.C</f>
        <v>8.3870525904073629E-13</v>
      </c>
      <c r="U51" s="385">
        <f>U50*Kaw.C/Ks3w.C*8.314*TEMP.C</f>
        <v>1.6089859530748091E-12</v>
      </c>
      <c r="V51" s="385">
        <f>V50*8.314*TEMP.M</f>
        <v>2.609680345099609E-10</v>
      </c>
      <c r="W51" s="385">
        <f>W50*Kaw.M*8.314*TEMP.M</f>
        <v>6.2695175462729752E-15</v>
      </c>
      <c r="X51" s="385">
        <f>X50*Kaw.M*8.314*TEMP.M</f>
        <v>6.1123615585269659E-15</v>
      </c>
      <c r="Y51" s="385">
        <f>Y50*Kaw.M/Ksdw.M*8.314*TEMP.M</f>
        <v>6.2573370537252944E-15</v>
      </c>
      <c r="Z51" s="372">
        <f>Z50*Kaw.M/Kslw.M*8.314*TEMP.M</f>
        <v>1.9243852932852853E-14</v>
      </c>
      <c r="AA51" s="385">
        <f>AA50*8.314*TEMP.A</f>
        <v>1.847692725394471E-11</v>
      </c>
      <c r="AB51" s="385">
        <f>AB50*Kaw.A*8.314*TEMP.A</f>
        <v>2.1093596862331307E-16</v>
      </c>
      <c r="AC51" s="385">
        <f>AC50*Kaw.A*8.314*TEMP.A</f>
        <v>1.7237809746863321E-16</v>
      </c>
      <c r="AD51" s="385">
        <f>AD50*Kaw.A/Ksdw.A*8.314*TEMP.A</f>
        <v>1.7657315705128019E-16</v>
      </c>
      <c r="AE51" s="372">
        <f>AE50*Kaw.A/Kslw.A*8.314*TEMP.A</f>
        <v>1.2519164051014347E-16</v>
      </c>
      <c r="AF51" s="385">
        <f>AF50*8.314*TEMP.T</f>
        <v>9.9899691680387372E-12</v>
      </c>
      <c r="AG51" s="385">
        <f>AG50*Kaw.T*8.314*TEMP.T</f>
        <v>1.9203947468070462E-14</v>
      </c>
      <c r="AH51" s="385">
        <f>AH50*Kaw.T*8.314*TEMP.T</f>
        <v>2.0666650469874565E-14</v>
      </c>
      <c r="AI51" s="385">
        <f>AI50*Kaw.T/Ksdw.T*8.314*TEMP.T</f>
        <v>2.1133001085862899E-14</v>
      </c>
      <c r="AJ51" s="386">
        <f>AJ50*Kaw.T/Kslw.T*8.314*TEMP.T</f>
        <v>2.4054716805071896E-15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-1.2969596614355121</v>
      </c>
      <c r="E55" s="370">
        <f t="shared" ref="E55:AJ55" si="4">E9*E$45</f>
        <v>1.6162786646257243E-7</v>
      </c>
      <c r="F55" s="370">
        <f t="shared" si="4"/>
        <v>4.1394614785458875E-6</v>
      </c>
      <c r="G55" s="370">
        <f t="shared" si="4"/>
        <v>6.5958074502953293E-8</v>
      </c>
      <c r="H55" s="389">
        <f t="shared" si="4"/>
        <v>0</v>
      </c>
      <c r="I55" s="389">
        <f t="shared" si="4"/>
        <v>0</v>
      </c>
      <c r="J55" s="370">
        <f t="shared" si="4"/>
        <v>1.9408835890540487E-6</v>
      </c>
      <c r="K55" s="370">
        <f t="shared" si="4"/>
        <v>2.1754379397872682E-5</v>
      </c>
      <c r="L55" s="370">
        <f t="shared" si="4"/>
        <v>7.188457737237216E-7</v>
      </c>
      <c r="M55" s="370">
        <f t="shared" si="4"/>
        <v>2.0148058760669354E-2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1.6514012329060426E-3</v>
      </c>
      <c r="E56" s="378">
        <f>SUM(D56,F56:AJ56)-SUM(E55,E57:E87)</f>
        <v>1.2281638090263475E-2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1.1719378568261284E-2</v>
      </c>
      <c r="K56" s="376">
        <f t="shared" si="6"/>
        <v>0.13135656827595255</v>
      </c>
      <c r="L56" s="376">
        <f t="shared" si="6"/>
        <v>4.3405105808375123E-3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1.8165413561966472E-2</v>
      </c>
      <c r="E57" s="179">
        <f t="shared" ref="E57:E87" si="7">E11*E$45</f>
        <v>0.13678605893982745</v>
      </c>
      <c r="F57" s="378">
        <f>SUM(D57:E57,G57:AJ57)-SUM(F55:F56,F58:F87)</f>
        <v>-1.4125273918636339</v>
      </c>
      <c r="G57" s="376">
        <f t="shared" ref="G57:AJ57" si="8">G11*G$45</f>
        <v>0</v>
      </c>
      <c r="H57" s="179">
        <f t="shared" si="8"/>
        <v>0.45215848939764242</v>
      </c>
      <c r="I57" s="376">
        <f t="shared" si="8"/>
        <v>0</v>
      </c>
      <c r="J57" s="179">
        <f t="shared" si="8"/>
        <v>0.12891316425087415</v>
      </c>
      <c r="K57" s="179">
        <f t="shared" si="8"/>
        <v>1.4449222510354778</v>
      </c>
      <c r="L57" s="179">
        <f t="shared" si="8"/>
        <v>4.7745616389212639E-2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2.8899702198994523E-3</v>
      </c>
      <c r="E58" s="179">
        <f t="shared" si="7"/>
        <v>0</v>
      </c>
      <c r="F58" s="179">
        <f t="shared" ref="F58:F87" si="9">F12*F$45</f>
        <v>3.1851152773728622</v>
      </c>
      <c r="G58" s="378">
        <f>SUM(D58:F58,H58:AJ58)-SUM(G55:G57,G59:G87)</f>
        <v>5.0119649408575384E-4</v>
      </c>
      <c r="H58" s="376">
        <f t="shared" ref="H58:N58" si="10">H12*H$45</f>
        <v>0</v>
      </c>
      <c r="I58" s="179">
        <f t="shared" si="10"/>
        <v>6.7032815947920005E-3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2.3744452895111813E-3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0.45609896860429405</v>
      </c>
      <c r="G59" s="376">
        <f t="shared" ref="G59:G87" si="12">G13*G$45</f>
        <v>0</v>
      </c>
      <c r="H59" s="378">
        <f>SUM(D59:G59,I59:AJ59)-SUM(H55:H58,H60:H87)</f>
        <v>3.940479206651637E-3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6.7496180398342641E-3</v>
      </c>
      <c r="H60" s="376">
        <f t="shared" ref="H60:H87" si="15">H14*H$45</f>
        <v>0</v>
      </c>
      <c r="I60" s="378">
        <f>SUM(D60:H60,J60:AJ60)-SUM(I55:I59,I61:I87)</f>
        <v>4.6336445042263578E-5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0.14826081990089712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7.6263361981726285E-3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0.32946848866866019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-1.2468320850221679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5.4911414778110033E-2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2.82456896228616E-3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0.76178899298992242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0.10367998128393141</v>
      </c>
      <c r="N64" s="179">
        <f>N18*N$45</f>
        <v>2.0152439239843876E-8</v>
      </c>
      <c r="O64" s="179">
        <f>O18*O$45</f>
        <v>2.8667255108449238E-7</v>
      </c>
      <c r="P64" s="179">
        <f t="shared" ref="P64:AJ64" si="25">P18*P$45</f>
        <v>2.0257819913475297E-7</v>
      </c>
      <c r="Q64" s="376">
        <f t="shared" si="25"/>
        <v>0</v>
      </c>
      <c r="R64" s="376">
        <f t="shared" si="25"/>
        <v>0</v>
      </c>
      <c r="S64" s="179">
        <f t="shared" si="25"/>
        <v>8.508228353195272E-7</v>
      </c>
      <c r="T64" s="179">
        <f t="shared" si="25"/>
        <v>1.7939357643097375E-6</v>
      </c>
      <c r="U64" s="179">
        <f t="shared" si="25"/>
        <v>3.1511956863686173E-7</v>
      </c>
      <c r="V64" s="179">
        <f t="shared" si="25"/>
        <v>1.0956213581063189E-3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7.14167211323933E-4</v>
      </c>
      <c r="N65" s="378">
        <f>SUM(D65:M65,O65:AJ65)-SUM(N55:N64,N66:N87)</f>
        <v>1.5313260689306975E-3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5.1374100733628794E-3</v>
      </c>
      <c r="T65" s="376">
        <f t="shared" si="27"/>
        <v>1.0832083112895807E-2</v>
      </c>
      <c r="U65" s="376">
        <f t="shared" si="27"/>
        <v>1.9027444716158801E-3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7.8558393245632616E-3</v>
      </c>
      <c r="N66" s="179">
        <f t="shared" ref="N66:N87" si="28">N20*N$45</f>
        <v>1.7055058647828563E-2</v>
      </c>
      <c r="O66" s="378">
        <f>SUM(D66:N66,P66:AJ66)-SUM(O55:O65,O67:O87)</f>
        <v>6.5350275293918347E-4</v>
      </c>
      <c r="P66" s="376">
        <f t="shared" ref="P66:AJ66" si="29">P20*P$45</f>
        <v>0</v>
      </c>
      <c r="Q66" s="179">
        <f t="shared" si="29"/>
        <v>3.1315420780801767E-2</v>
      </c>
      <c r="R66" s="376">
        <f t="shared" si="29"/>
        <v>0</v>
      </c>
      <c r="S66" s="179">
        <f t="shared" si="29"/>
        <v>5.6511510806991662E-2</v>
      </c>
      <c r="T66" s="179">
        <f t="shared" si="29"/>
        <v>0.11915291424185387</v>
      </c>
      <c r="U66" s="179">
        <f t="shared" si="29"/>
        <v>2.0930189187774676E-2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3.1898320939850704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0.30431639595648746</v>
      </c>
      <c r="N67" s="179">
        <f t="shared" si="28"/>
        <v>0</v>
      </c>
      <c r="O67" s="179">
        <f t="shared" ref="O67:O87" si="30">O21*O$45</f>
        <v>0.2205806544631545</v>
      </c>
      <c r="P67" s="378">
        <f>SUM(D67:O67,Q67:AJ67)-SUM(P55:P66,P68:P87)</f>
        <v>3.0786672882631372E-2</v>
      </c>
      <c r="Q67" s="376">
        <f t="shared" ref="Q67:AJ67" si="31">Q21*Q$45</f>
        <v>0</v>
      </c>
      <c r="R67" s="179">
        <f t="shared" si="31"/>
        <v>2.0659582058326565E-2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0.85153532006114618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3.1586489101169041E-2</v>
      </c>
      <c r="P68" s="376">
        <f t="shared" ref="P68:P87" si="32">P22*P$45</f>
        <v>0</v>
      </c>
      <c r="Q68" s="378">
        <f>SUM(D68:P68,R68:AJ68)-SUM(Q55:Q67,Q69:Q87)</f>
        <v>2.7106832036727369E-4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2.0730221093640991E-2</v>
      </c>
      <c r="Q69" s="376">
        <f t="shared" ref="Q69:Q87" si="34">Q23*Q$45</f>
        <v>0</v>
      </c>
      <c r="R69" s="378">
        <f>SUM(D69:Q69,S69:AJ69)-SUM(R55:R68,R70:R87)</f>
        <v>7.0639035314425808E-5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6.4992919650765466E-2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3.343147947575606E-3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0.14442871033503435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1.4441919044520357E-2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2.4071451722505719E-2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1.2382029435465264E-3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9.2680559384105451E-2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1.3206261617361381E-2</v>
      </c>
      <c r="W73" s="179">
        <f t="shared" ref="W73:AJ73" si="43">W27*W$45</f>
        <v>3.9746971081719466E-7</v>
      </c>
      <c r="X73" s="376">
        <f t="shared" si="43"/>
        <v>0</v>
      </c>
      <c r="Y73" s="376">
        <f t="shared" si="43"/>
        <v>0</v>
      </c>
      <c r="Z73" s="179">
        <f t="shared" si="43"/>
        <v>4.1935140562460069E-7</v>
      </c>
      <c r="AA73" s="179">
        <f t="shared" si="43"/>
        <v>2.4864143062055253E-4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2.0549819266373772E-4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4.5330325046802029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3.7946266434402992E-2</v>
      </c>
      <c r="W74" s="378">
        <f>SUM(D74:V74,X74:AJ74)-SUM(W55:W73,W75:W87)</f>
        <v>3.0202583545388961E-2</v>
      </c>
      <c r="X74" s="376">
        <f t="shared" ref="X74:AJ74" si="45">X28*X$45</f>
        <v>34.079938218503692</v>
      </c>
      <c r="Y74" s="376">
        <f t="shared" si="45"/>
        <v>0</v>
      </c>
      <c r="Z74" s="179">
        <f t="shared" si="45"/>
        <v>3.0385364088996888E-2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2.5834906907718116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34.956173418559928</v>
      </c>
      <c r="X75" s="378">
        <f>SUM(D75:W75,Y75:AJ75)-SUM(X55:X74,X76:X87)</f>
        <v>0.88336515179273789</v>
      </c>
      <c r="Y75" s="376">
        <f t="shared" ref="Y75:AJ75" si="47">Y29*Y$45</f>
        <v>3.9623370906367181E-2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5.298008300312766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3.9654290181326435E-2</v>
      </c>
      <c r="Y76" s="378">
        <f>SUM(D76:X76,Z76:AJ76)-SUM(Y55:Y75,Y77:Y87)</f>
        <v>3.0919274959254062E-5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3.2033545739236821E-2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1.6477622988343085E-3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3.2407232892119118E-3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8.8448155802585329E-5</v>
      </c>
      <c r="AB78" s="179">
        <f t="shared" ref="AB78:AJ78" si="53">AB32*AB$45</f>
        <v>9.5275113203612848E-9</v>
      </c>
      <c r="AC78" s="376">
        <f t="shared" si="53"/>
        <v>0</v>
      </c>
      <c r="AD78" s="376">
        <f t="shared" si="53"/>
        <v>0</v>
      </c>
      <c r="AE78" s="179">
        <f t="shared" si="53"/>
        <v>1.2959007160572198E-9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5.4268813248429328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1.7648865957411155E-3</v>
      </c>
      <c r="AB79" s="378">
        <f>SUM(D79:AA79,AC79:AJ79)-SUM(AB55:AB78,AB80:AB87)</f>
        <v>5.1627221236145715E-3</v>
      </c>
      <c r="AC79" s="376">
        <f t="shared" ref="AC79:AJ79" si="55">AC33*AC$45</f>
        <v>24.251320822475439</v>
      </c>
      <c r="AD79" s="376">
        <f t="shared" si="55"/>
        <v>0</v>
      </c>
      <c r="AE79" s="179">
        <f t="shared" si="55"/>
        <v>1.09955793836457E-3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29.675903860201352</v>
      </c>
      <c r="AC80" s="378">
        <f>SUM(D80:AB80,AD80:AJ80)-SUM(AC55:AC79,AC81:AC87)</f>
        <v>0.12657019424922922</v>
      </c>
      <c r="AD80" s="376">
        <f t="shared" ref="AD80:AJ80" si="57">AD34*AD$45</f>
        <v>2.610187888860056E-2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2.610642205251907E-2</v>
      </c>
      <c r="AD81" s="378">
        <f>SUM(D81:AC81,AE81:AJ81)-SUM(AD55:AD80,AD82:AD87)</f>
        <v>4.5431639185099237E-6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1.138757930459695E-3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3.9198696194408817E-5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5.6130973901867597E-3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9.9480208795005385E-4</v>
      </c>
      <c r="AG83" s="179">
        <f>AG37*AG$45</f>
        <v>2.6793330974625558E-6</v>
      </c>
      <c r="AH83" s="376">
        <f>AH37*AH$45</f>
        <v>0</v>
      </c>
      <c r="AI83" s="376">
        <f>AI37*AI$45</f>
        <v>0</v>
      </c>
      <c r="AJ83" s="380">
        <f>AJ37*AJ$45</f>
        <v>4.9431241780436645E-8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3.2591975966889475E-3</v>
      </c>
      <c r="AG84" s="378">
        <f>SUM(D84:AF84,AH84:AJ84)-SUM(AG55:AG83,AG85:AG87)</f>
        <v>8.1466205366801603E-2</v>
      </c>
      <c r="AH84" s="376">
        <f>AH38*AH$45</f>
        <v>37.59211017094659</v>
      </c>
      <c r="AI84" s="179">
        <f>AI38*AI$45</f>
        <v>0</v>
      </c>
      <c r="AJ84" s="380">
        <f>AJ38*AJ$45</f>
        <v>1.0809189381976809E-3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5.2908474293013095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34.931490712009769</v>
      </c>
      <c r="AH85" s="378">
        <f>SUM(D85:AG85,AI85:AJ85)-SUM(AH55:AH84,AH86:AH87)</f>
        <v>2.6301367375981854</v>
      </c>
      <c r="AI85" s="376">
        <f>AI39*AI$45</f>
        <v>4.7858837826043402E-2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4.7950070592342874E-2</v>
      </c>
      <c r="AI86" s="378">
        <f>SUM(D86:AH86,AJ86)-SUM(AI55:AI85,AI87)</f>
        <v>9.1232766299471912E-5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1.1563282772232635E-3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7.5359907783802225E-5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231.55588645922236</v>
      </c>
      <c r="D92" s="179">
        <f>SUM($D$55:$AJ$55)</f>
        <v>-1.2767828215186627</v>
      </c>
      <c r="E92" s="179">
        <f>SUM($D$56:$AJ$56)</f>
        <v>0.16134949674822086</v>
      </c>
      <c r="F92" s="179">
        <f>SUM($D$57:$AJ$57)</f>
        <v>0.81616360171136715</v>
      </c>
      <c r="G92" s="179">
        <f>SUM($D$58:$AJ$58)</f>
        <v>3.1975841709711506</v>
      </c>
      <c r="H92" s="179">
        <f>SUM($D$59:$AJ$59)</f>
        <v>0.46003944781094569</v>
      </c>
      <c r="I92" s="179">
        <f>SUM($D$60:$AJ$60)</f>
        <v>6.7959544848765277E-3</v>
      </c>
      <c r="J92" s="179">
        <f>SUM($D$61:$AJ$61)</f>
        <v>0.15588715609906975</v>
      </c>
      <c r="K92" s="179">
        <f>SUM($D$62:$AJ$62)</f>
        <v>-0.91736359635350773</v>
      </c>
      <c r="L92" s="179">
        <f>SUM($D$63:$AJ$63)</f>
        <v>5.7735983740396193E-2</v>
      </c>
      <c r="M92" s="179">
        <f>SUM($D$64:$AJ$64)</f>
        <v>0.86656806491331784</v>
      </c>
      <c r="N92" s="179">
        <f>SUM($D$65:$AJ$65)</f>
        <v>2.0117730938129196E-2</v>
      </c>
      <c r="O92" s="179">
        <f>SUM($D$66:$AJ$66)</f>
        <v>0.25347443574275297</v>
      </c>
      <c r="P92" s="179">
        <f>SUM($D$67:$AJ$67)</f>
        <v>4.6177107194068165</v>
      </c>
      <c r="Q92" s="179">
        <f>SUM($D$68:$AJ$68)</f>
        <v>3.1857557421536314E-2</v>
      </c>
      <c r="R92" s="179">
        <f>SUM($D$69:$AJ$69)</f>
        <v>2.0800860128955417E-2</v>
      </c>
      <c r="S92" s="179">
        <f>SUM($D$70:$AJ$70)</f>
        <v>6.8336067598341071E-2</v>
      </c>
      <c r="T92" s="179">
        <f>SUM($D$71:$AJ$71)</f>
        <v>0.15887062937955471</v>
      </c>
      <c r="U92" s="179">
        <f>SUM($D$72:$AJ$72)</f>
        <v>2.5309654666052245E-2</v>
      </c>
      <c r="V92" s="179">
        <f>SUM($D$73:$AJ$73)</f>
        <v>0.10634177744586756</v>
      </c>
      <c r="W92" s="179">
        <f>SUM($D$74:$AJ$74)</f>
        <v>41.294995628024495</v>
      </c>
      <c r="X92" s="179">
        <f>SUM($D$75:$AJ$75)</f>
        <v>41.177170241571801</v>
      </c>
      <c r="Y92" s="179">
        <f>SUM($D$76:$AJ$76)</f>
        <v>3.9685209456285689E-2</v>
      </c>
      <c r="Z92" s="179">
        <f>SUM($D$77:$AJ$77)</f>
        <v>3.368130803807113E-2</v>
      </c>
      <c r="AA92" s="179">
        <f>SUM($D$78:$AJ$78)</f>
        <v>3.3291822684265336E-3</v>
      </c>
      <c r="AB92" s="179">
        <f>SUM($D$79:$AJ$79)</f>
        <v>29.686229313976092</v>
      </c>
      <c r="AC92" s="179">
        <f>SUM($D$80:$AJ$80)</f>
        <v>29.828575933339181</v>
      </c>
      <c r="AD92" s="179">
        <f>SUM($D$81:$AJ$81)</f>
        <v>2.611096521643758E-2</v>
      </c>
      <c r="AE92" s="179">
        <f>SUM($D$82:$AJ$82)</f>
        <v>1.1779566266541038E-3</v>
      </c>
      <c r="AF92" s="179">
        <f>SUM($D$83:$AJ$83)</f>
        <v>6.6106282424760561E-3</v>
      </c>
      <c r="AG92" s="179">
        <f>SUM($D$84:$AJ$84)</f>
        <v>37.677916492848283</v>
      </c>
      <c r="AH92" s="179">
        <f>SUM($D$85:$AJ$85)</f>
        <v>42.900333716735304</v>
      </c>
      <c r="AI92" s="179">
        <f>SUM($D$86:$AJ$86)</f>
        <v>4.8041303358642345E-2</v>
      </c>
      <c r="AJ92" s="380">
        <f>SUM($D$87:$AJ$87)</f>
        <v>1.2316881850070658E-3</v>
      </c>
    </row>
    <row r="93" spans="2:36" ht="12.75" customHeight="1" x14ac:dyDescent="0.3">
      <c r="B93" s="146" t="s">
        <v>1212</v>
      </c>
      <c r="C93" s="150">
        <f>SUM(D93:AJ93)</f>
        <v>231.55588645922234</v>
      </c>
      <c r="D93" s="179">
        <f t="shared" ref="D93:AJ93" si="61">SUM(D55:D87)</f>
        <v>2.0176839916849487E-2</v>
      </c>
      <c r="E93" s="179">
        <f t="shared" si="61"/>
        <v>0.14906785865795738</v>
      </c>
      <c r="F93" s="179">
        <f t="shared" si="61"/>
        <v>2.2286909935750008</v>
      </c>
      <c r="G93" s="179">
        <f t="shared" si="61"/>
        <v>3.1970829744770648</v>
      </c>
      <c r="H93" s="179">
        <f t="shared" si="61"/>
        <v>0.45609896860429405</v>
      </c>
      <c r="I93" s="179">
        <f t="shared" si="61"/>
        <v>6.7496180398342641E-3</v>
      </c>
      <c r="J93" s="179">
        <f t="shared" si="61"/>
        <v>0.14826081990089712</v>
      </c>
      <c r="K93" s="179">
        <f t="shared" si="61"/>
        <v>0.3294684886686603</v>
      </c>
      <c r="L93" s="179">
        <f t="shared" si="61"/>
        <v>5.4911414778110033E-2</v>
      </c>
      <c r="M93" s="179">
        <f t="shared" si="61"/>
        <v>0.76288808362938643</v>
      </c>
      <c r="N93" s="179">
        <f t="shared" si="61"/>
        <v>1.8586404869198499E-2</v>
      </c>
      <c r="O93" s="179">
        <f t="shared" si="61"/>
        <v>0.25282093298981378</v>
      </c>
      <c r="P93" s="179">
        <f t="shared" si="61"/>
        <v>4.5869240465241852</v>
      </c>
      <c r="Q93" s="179">
        <f t="shared" si="61"/>
        <v>3.1586489101169041E-2</v>
      </c>
      <c r="R93" s="179">
        <f t="shared" si="61"/>
        <v>2.0730221093640991E-2</v>
      </c>
      <c r="S93" s="179">
        <f t="shared" si="61"/>
        <v>6.4992919650765466E-2</v>
      </c>
      <c r="T93" s="179">
        <f t="shared" si="61"/>
        <v>0.14442871033503435</v>
      </c>
      <c r="U93" s="179">
        <f t="shared" si="61"/>
        <v>2.4071451722505719E-2</v>
      </c>
      <c r="V93" s="179">
        <f t="shared" si="61"/>
        <v>9.3135515828506182E-2</v>
      </c>
      <c r="W93" s="179">
        <f t="shared" si="61"/>
        <v>41.264793044479106</v>
      </c>
      <c r="X93" s="179">
        <f t="shared" si="61"/>
        <v>40.293805089779063</v>
      </c>
      <c r="Y93" s="179">
        <f t="shared" si="61"/>
        <v>3.9654290181326435E-2</v>
      </c>
      <c r="Z93" s="179">
        <f t="shared" si="61"/>
        <v>3.2033545739236821E-2</v>
      </c>
      <c r="AA93" s="179">
        <f t="shared" si="61"/>
        <v>3.2407341126239487E-3</v>
      </c>
      <c r="AB93" s="179">
        <f t="shared" si="61"/>
        <v>29.681066591852478</v>
      </c>
      <c r="AC93" s="179">
        <f t="shared" si="61"/>
        <v>29.702005739089952</v>
      </c>
      <c r="AD93" s="179">
        <f t="shared" si="61"/>
        <v>2.610642205251907E-2</v>
      </c>
      <c r="AE93" s="179">
        <f t="shared" si="61"/>
        <v>1.138757930459695E-3</v>
      </c>
      <c r="AF93" s="179">
        <f t="shared" si="61"/>
        <v>5.6158261545260022E-3</v>
      </c>
      <c r="AG93" s="179">
        <f t="shared" si="61"/>
        <v>37.596450287481481</v>
      </c>
      <c r="AH93" s="179">
        <f t="shared" si="61"/>
        <v>40.270196979137118</v>
      </c>
      <c r="AI93" s="179">
        <f t="shared" si="61"/>
        <v>4.7950070592342874E-2</v>
      </c>
      <c r="AJ93" s="380">
        <f t="shared" si="61"/>
        <v>1.1563282772232635E-3</v>
      </c>
    </row>
    <row r="94" spans="2:36" ht="12.75" customHeight="1" x14ac:dyDescent="0.3">
      <c r="B94" s="152" t="s">
        <v>1211</v>
      </c>
      <c r="C94" s="150">
        <f>SUM(D94:AJ94)</f>
        <v>4.2658912982642869</v>
      </c>
      <c r="D94" s="179">
        <f>k.aR*D45</f>
        <v>0.12500410465258588</v>
      </c>
      <c r="E94" s="179">
        <f>k.w0R*E45</f>
        <v>1.2281638090263473E-2</v>
      </c>
      <c r="F94" s="179">
        <f>k.w1R*F45</f>
        <v>9.4363742244646023E-3</v>
      </c>
      <c r="G94" s="179">
        <f>k.w2R*G45</f>
        <v>5.0119649408568575E-4</v>
      </c>
      <c r="H94" s="179">
        <f>k.sd1R*H45</f>
        <v>3.9404792066516431E-3</v>
      </c>
      <c r="I94" s="179">
        <f>k.sd2R*I45</f>
        <v>4.6336445042266025E-5</v>
      </c>
      <c r="J94" s="179">
        <f>k.s1R*J45</f>
        <v>7.6263361981726693E-3</v>
      </c>
      <c r="K94" s="179">
        <f>k.s2R*K45</f>
        <v>0.17513168106593013</v>
      </c>
      <c r="L94" s="179">
        <f>k.s3R*L45</f>
        <v>2.8245689622861734E-3</v>
      </c>
      <c r="M94" s="179">
        <f>k.aC*M45</f>
        <v>0.10367998128393142</v>
      </c>
      <c r="N94" s="179">
        <f>k.w0C*N45</f>
        <v>1.5313260689306977E-3</v>
      </c>
      <c r="O94" s="179">
        <f>k.w1C*O45</f>
        <v>6.5350275293912926E-4</v>
      </c>
      <c r="P94" s="179">
        <f>k.w2C*P45</f>
        <v>3.0786672882630615E-2</v>
      </c>
      <c r="Q94" s="179">
        <f>k.sd1C*Q45</f>
        <v>2.7106832036727054E-4</v>
      </c>
      <c r="R94" s="179">
        <f>k.sd2C*R45</f>
        <v>7.0639035314428356E-5</v>
      </c>
      <c r="S94" s="179">
        <f>k.s1C*S45</f>
        <v>3.3431479475756038E-3</v>
      </c>
      <c r="T94" s="179">
        <f>k.s2C*T45</f>
        <v>1.4441919044520347E-2</v>
      </c>
      <c r="U94" s="179">
        <f>k.s3C*U45</f>
        <v>1.238202943546519E-3</v>
      </c>
      <c r="V94" s="179">
        <f>k.aM*V45</f>
        <v>1.3206261617361381E-2</v>
      </c>
      <c r="W94" s="179">
        <f>k.w2M*W45</f>
        <v>3.0202583545386796E-2</v>
      </c>
      <c r="X94" s="179">
        <f>k.w3M*X45</f>
        <v>0.88336515179273445</v>
      </c>
      <c r="Y94" s="179">
        <f>k.sdM*Y45</f>
        <v>3.0919274959248126E-5</v>
      </c>
      <c r="Z94" s="179">
        <f>k.sM*Z45</f>
        <v>1.6477622988343085E-3</v>
      </c>
      <c r="AA94" s="179">
        <f>k.aA*AA45</f>
        <v>8.8448155802586047E-5</v>
      </c>
      <c r="AB94" s="179">
        <f>k.w2A*AB45</f>
        <v>5.1627221236078278E-3</v>
      </c>
      <c r="AC94" s="179">
        <f>k.w3A*AC45</f>
        <v>0.1265701942492298</v>
      </c>
      <c r="AD94" s="179">
        <f>k.sdA*AD45</f>
        <v>4.543163918509474E-6</v>
      </c>
      <c r="AE94" s="179">
        <f>k.sA*AE45</f>
        <v>3.9198696194409122E-5</v>
      </c>
      <c r="AF94" s="179">
        <f>k.aT*AF45</f>
        <v>9.9480208795005927E-4</v>
      </c>
      <c r="AG94" s="179">
        <f>k.w2T*AG45</f>
        <v>8.1466205366796149E-2</v>
      </c>
      <c r="AH94" s="179">
        <f>k.w3T*AH45</f>
        <v>2.6301367375981894</v>
      </c>
      <c r="AI94" s="179">
        <f>k.sdT*AI45</f>
        <v>9.1232766299467305E-5</v>
      </c>
      <c r="AJ94" s="374">
        <f>k.sT*AJ45</f>
        <v>7.5359907783801683E-5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1660214827.7572939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483006758.11739886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1073348351.3719972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178891391.89533284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19904551501.450737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31671234.107960731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70380520.239912719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11730086.706652122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22106496208.851734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3.0534021961477695E-9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3.0534021961477695E-9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2.8467460868656887E-9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2.8467460868656887E-9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3.0534021961477699E-9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3.0534021961477699E-9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7.1743887320962765E-10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3.1416462888881059E-9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3.1627861501187856E-9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1.1817111353210501E-9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2.3807512270678804E-9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6.031418563876915E-11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2.7040182804920299E-10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6.6057407793175462E-10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3.0534021961477695E-9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7.2888726843209808E-9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2.6741789373454676E-9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2.6741789373454676E-9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2.6741789373454676E-9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2.6741789373454676E-9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2.6741789373454676E-9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2.6741789373454676E-9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5.8200199506518189E-10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2.6741789373454681E-10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2.6741789373454681E-10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2.6741789373454681E-10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2.6741789373454681E-10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5.8200199506518201E-11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2.6741789373454681E-10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6.5846009179950362E-10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2.6741789373454676E-9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6.5846009179950347E-9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5.8200199506518189E-11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2.6741789373454676E-10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2.6741789373454676E-10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2.6741789373454676E-10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6.5846009179950351E-10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3.656863691349959E-2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2.3978419374723454E-3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0.14791744938929716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9.699094452674719E-3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1.3543939597592435E-2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8.880896064712389E-4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2.0160622515919567E-2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1.5069816406289023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9.1437210945222809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2024-08-16T10:39:22Z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