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317DB919-C628-4BD0-86F7-02F2842740F5}" xr6:coauthVersionLast="47" xr6:coauthVersionMax="47" xr10:uidLastSave="{00000000-0000-0000-0000-000000000000}"/>
  <bookViews>
    <workbookView xWindow="14400" yWindow="0" windowWidth="14400" windowHeight="15600" tabRatio="704" firstSheet="3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J37" i="3"/>
  <c r="A6" i="2"/>
  <c r="I6" i="2"/>
  <c r="K6" i="2"/>
  <c r="N6" i="2"/>
  <c r="E6" i="2"/>
  <c r="BQ12" i="23" s="1"/>
  <c r="Y6" i="2"/>
  <c r="D6" i="2"/>
  <c r="BP12" i="23" s="1"/>
  <c r="Q6" i="2"/>
  <c r="C6" i="2"/>
  <c r="F6" i="2"/>
  <c r="T6" i="2"/>
  <c r="B6" i="2"/>
  <c r="P6" i="2"/>
  <c r="H6" i="2"/>
  <c r="F5" i="20"/>
  <c r="I17" i="18"/>
  <c r="C5" i="23"/>
  <c r="BO12" i="23"/>
  <c r="AY132" i="23"/>
  <c r="P17" i="3"/>
  <c r="BN12" i="23"/>
  <c r="L6" i="2" l="1"/>
  <c r="J6" i="2"/>
  <c r="U6" i="2"/>
  <c r="O6" i="2"/>
  <c r="V6" i="2"/>
  <c r="R6" i="2"/>
  <c r="X6" i="2"/>
  <c r="G6" i="2"/>
  <c r="Z6" i="2"/>
  <c r="W6" i="2"/>
  <c r="S6" i="2"/>
  <c r="M6" i="2"/>
  <c r="J20" i="3"/>
  <c r="L20" i="3" s="1"/>
  <c r="J66" i="3"/>
  <c r="L66" i="3" s="1"/>
  <c r="J70" i="3"/>
  <c r="L70" i="3" s="1"/>
  <c r="J15" i="3"/>
  <c r="L15" i="3" s="1"/>
  <c r="J39" i="3"/>
  <c r="L39" i="3" s="1"/>
  <c r="J14" i="3"/>
  <c r="L14" i="3" s="1"/>
  <c r="J75" i="3"/>
  <c r="L75" i="3" s="1"/>
  <c r="J17" i="3"/>
  <c r="L17" i="3" s="1"/>
  <c r="J19" i="3"/>
  <c r="L19" i="3" s="1"/>
  <c r="J74" i="3"/>
  <c r="L74" i="3" s="1"/>
  <c r="J35" i="3"/>
  <c r="L35" i="3" s="1"/>
  <c r="AY67" i="23"/>
  <c r="BO5" i="23"/>
  <c r="AY3" i="23"/>
  <c r="AB5" i="23"/>
  <c r="K6" i="3"/>
  <c r="J22" i="3"/>
  <c r="L22" i="3" s="1"/>
  <c r="J44" i="3" s="1"/>
  <c r="K209" i="6" l="1"/>
  <c r="L209" i="6" s="1"/>
  <c r="K210" i="6"/>
  <c r="L210" i="6" s="1"/>
  <c r="K211" i="6"/>
  <c r="L211" i="6" s="1"/>
  <c r="K215" i="7"/>
  <c r="L215" i="7" s="1"/>
  <c r="K274" i="8"/>
  <c r="L274" i="8" s="1"/>
  <c r="K216" i="7"/>
  <c r="L216" i="7" s="1"/>
  <c r="K217" i="7"/>
  <c r="L217" i="7" s="1"/>
  <c r="K410" i="8"/>
  <c r="L410" i="8" s="1"/>
  <c r="K138" i="8"/>
  <c r="L138" i="8" s="1"/>
  <c r="B569" i="22"/>
  <c r="B556" i="22"/>
  <c r="B561" i="22"/>
  <c r="B558" i="22"/>
  <c r="B570" i="22"/>
  <c r="B555" i="22"/>
  <c r="B557" i="22"/>
  <c r="B559" i="22"/>
  <c r="B560" i="22"/>
  <c r="K18" i="3"/>
  <c r="L18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25" i="3"/>
  <c r="L25" i="3" s="1"/>
  <c r="K32" i="3"/>
  <c r="L32" i="3" s="1"/>
  <c r="K30" i="3"/>
  <c r="L30" i="3" s="1"/>
  <c r="K27" i="3"/>
  <c r="L27" i="3" s="1"/>
  <c r="K34" i="3"/>
  <c r="L34" i="3" s="1"/>
  <c r="B339" i="22"/>
  <c r="B328" i="22"/>
  <c r="B329" i="22"/>
  <c r="B335" i="22"/>
  <c r="B330" i="22"/>
  <c r="K19" i="3"/>
  <c r="B334" i="22"/>
  <c r="B332" i="22"/>
  <c r="B338" i="22"/>
  <c r="B336" i="22"/>
  <c r="B333" i="22"/>
  <c r="B331" i="22"/>
  <c r="B337" i="22"/>
  <c r="K17" i="3"/>
  <c r="K185" i="8"/>
  <c r="L185" i="8" s="1"/>
  <c r="B545" i="22"/>
  <c r="K36" i="3"/>
  <c r="L36" i="3" s="1"/>
  <c r="K69" i="7" s="1"/>
  <c r="L69" i="7" s="1"/>
  <c r="M922" i="18"/>
  <c r="O786" i="18"/>
  <c r="L650" i="18"/>
  <c r="P786" i="18"/>
  <c r="L220" i="18"/>
  <c r="N922" i="18"/>
  <c r="N924" i="18"/>
  <c r="N788" i="18"/>
  <c r="M924" i="18"/>
  <c r="O924" i="18"/>
  <c r="M650" i="18"/>
  <c r="N786" i="18"/>
  <c r="L922" i="18"/>
  <c r="O222" i="18"/>
  <c r="P650" i="18"/>
  <c r="B724" i="22"/>
  <c r="L222" i="18"/>
  <c r="B723" i="22"/>
  <c r="M447" i="18"/>
  <c r="B725" i="22"/>
  <c r="O788" i="18"/>
  <c r="P220" i="18"/>
  <c r="M445" i="18"/>
  <c r="M222" i="18"/>
  <c r="P922" i="18"/>
  <c r="N445" i="18"/>
  <c r="N220" i="18"/>
  <c r="M652" i="18"/>
  <c r="L447" i="18"/>
  <c r="N650" i="18"/>
  <c r="L786" i="18"/>
  <c r="P788" i="18"/>
  <c r="B401" i="22"/>
  <c r="O447" i="18"/>
  <c r="P652" i="18"/>
  <c r="L924" i="18"/>
  <c r="P445" i="18"/>
  <c r="M220" i="18"/>
  <c r="N222" i="18"/>
  <c r="L445" i="18"/>
  <c r="P447" i="18"/>
  <c r="M786" i="18"/>
  <c r="P222" i="18"/>
  <c r="N652" i="18"/>
  <c r="O220" i="18"/>
  <c r="O445" i="18"/>
  <c r="O652" i="18"/>
  <c r="L652" i="18"/>
  <c r="M788" i="18"/>
  <c r="O650" i="18"/>
  <c r="K65" i="6"/>
  <c r="L65" i="6" s="1"/>
  <c r="K21" i="3"/>
  <c r="L21" i="3" s="1"/>
  <c r="K23" i="3" s="1"/>
  <c r="L23" i="3" s="1"/>
  <c r="K71" i="7"/>
  <c r="L71" i="7" s="1"/>
  <c r="K52" i="8"/>
  <c r="L52" i="8" s="1"/>
  <c r="K188" i="8"/>
  <c r="L188" i="8" s="1"/>
  <c r="K324" i="8"/>
  <c r="L324" i="8" s="1"/>
  <c r="K37" i="3"/>
  <c r="L37" i="3" s="1"/>
  <c r="L64" i="3" s="1"/>
  <c r="B537" i="22"/>
  <c r="B538" i="22"/>
  <c r="I52" i="3"/>
  <c r="I56" i="3"/>
  <c r="I64" i="3"/>
  <c r="J53" i="3"/>
  <c r="J57" i="3"/>
  <c r="I59" i="3"/>
  <c r="I54" i="3"/>
  <c r="J60" i="3"/>
  <c r="I47" i="3"/>
  <c r="I55" i="3"/>
  <c r="I62" i="3"/>
  <c r="B535" i="22"/>
  <c r="J59" i="3"/>
  <c r="J50" i="3"/>
  <c r="J55" i="3"/>
  <c r="I48" i="3"/>
  <c r="I46" i="3"/>
  <c r="J46" i="3"/>
  <c r="I43" i="3"/>
  <c r="J51" i="3"/>
  <c r="I60" i="3"/>
  <c r="I58" i="3"/>
  <c r="I50" i="3"/>
  <c r="J58" i="3"/>
  <c r="J52" i="3"/>
  <c r="I53" i="3"/>
  <c r="J61" i="3"/>
  <c r="I49" i="3"/>
  <c r="J56" i="3"/>
  <c r="B536" i="22"/>
  <c r="J48" i="3"/>
  <c r="J64" i="3"/>
  <c r="I57" i="3"/>
  <c r="I44" i="3"/>
  <c r="I61" i="3"/>
  <c r="I42" i="3"/>
  <c r="J62" i="3"/>
  <c r="J63" i="3"/>
  <c r="J47" i="3"/>
  <c r="I51" i="3"/>
  <c r="J43" i="3"/>
  <c r="J54" i="3"/>
  <c r="J42" i="3"/>
  <c r="B539" i="22"/>
  <c r="I63" i="3"/>
  <c r="J49" i="3"/>
  <c r="K207" i="6"/>
  <c r="L207" i="6" s="1"/>
  <c r="K208" i="6"/>
  <c r="L208" i="6" s="1"/>
  <c r="K213" i="7"/>
  <c r="L213" i="7" s="1"/>
  <c r="K137" i="8"/>
  <c r="L137" i="8" s="1"/>
  <c r="K214" i="7"/>
  <c r="L214" i="7" s="1"/>
  <c r="K273" i="8"/>
  <c r="L273" i="8" s="1"/>
  <c r="K409" i="8"/>
  <c r="L409" i="8" s="1"/>
  <c r="B465" i="22"/>
  <c r="B566" i="22"/>
  <c r="B467" i="22"/>
  <c r="B459" i="22"/>
  <c r="B565" i="22"/>
  <c r="B463" i="22"/>
  <c r="B567" i="22"/>
  <c r="B562" i="22"/>
  <c r="B461" i="22"/>
  <c r="B563" i="22"/>
  <c r="B471" i="22"/>
  <c r="B568" i="22"/>
  <c r="B564" i="22"/>
  <c r="B469" i="22"/>
  <c r="K75" i="3"/>
  <c r="K74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K143" i="7"/>
  <c r="L143" i="7" s="1"/>
  <c r="L96" i="3"/>
  <c r="L91" i="3"/>
  <c r="K142" i="7"/>
  <c r="L142" i="7" s="1"/>
  <c r="L85" i="3"/>
  <c r="K233" i="8"/>
  <c r="L233" i="8" s="1"/>
  <c r="K96" i="8"/>
  <c r="L96" i="8" s="1"/>
  <c r="K232" i="8"/>
  <c r="L232" i="8" s="1"/>
  <c r="L106" i="3"/>
  <c r="K97" i="8"/>
  <c r="L97" i="8" s="1"/>
  <c r="K369" i="8"/>
  <c r="L369" i="8" s="1"/>
  <c r="K368" i="8"/>
  <c r="L368" i="8" s="1"/>
  <c r="L81" i="3"/>
  <c r="L89" i="3"/>
  <c r="AC23" i="23" s="1"/>
  <c r="B699" i="22"/>
  <c r="K156" i="3"/>
  <c r="L156" i="3" s="1"/>
  <c r="B695" i="22"/>
  <c r="B208" i="22"/>
  <c r="B209" i="22"/>
  <c r="B693" i="22"/>
  <c r="B694" i="22"/>
  <c r="K155" i="3"/>
  <c r="L155" i="3" s="1"/>
  <c r="B700" i="22"/>
  <c r="B701" i="22"/>
  <c r="B696" i="22"/>
  <c r="B698" i="22"/>
  <c r="B697" i="22"/>
  <c r="B702" i="22"/>
  <c r="K82" i="6" l="1"/>
  <c r="L82" i="6" s="1"/>
  <c r="K70" i="6"/>
  <c r="L70" i="6" s="1"/>
  <c r="K76" i="6"/>
  <c r="L76" i="6" s="1"/>
  <c r="K76" i="7"/>
  <c r="L76" i="7" s="1"/>
  <c r="K82" i="7"/>
  <c r="L82" i="7" s="1"/>
  <c r="K61" i="8"/>
  <c r="L61" i="8" s="1"/>
  <c r="K62" i="8"/>
  <c r="L62" i="8" s="1"/>
  <c r="K197" i="8"/>
  <c r="L197" i="8" s="1"/>
  <c r="K334" i="8"/>
  <c r="L334" i="8" s="1"/>
  <c r="K198" i="8"/>
  <c r="L198" i="8" s="1"/>
  <c r="K88" i="7"/>
  <c r="L88" i="7" s="1"/>
  <c r="K333" i="8"/>
  <c r="L333" i="8" s="1"/>
  <c r="B610" i="22"/>
  <c r="B603" i="22"/>
  <c r="B605" i="22"/>
  <c r="B604" i="22"/>
  <c r="B608" i="22"/>
  <c r="B606" i="22"/>
  <c r="K70" i="7"/>
  <c r="L70" i="7" s="1"/>
  <c r="B541" i="22"/>
  <c r="U5" i="11"/>
  <c r="AC30" i="23"/>
  <c r="I21" i="16"/>
  <c r="K262" i="8"/>
  <c r="L262" i="8" s="1"/>
  <c r="K192" i="6"/>
  <c r="L192" i="6" s="1"/>
  <c r="K184" i="8"/>
  <c r="L184" i="8" s="1"/>
  <c r="K187" i="8"/>
  <c r="L187" i="8" s="1"/>
  <c r="B540" i="22"/>
  <c r="K99" i="7"/>
  <c r="L99" i="7" s="1"/>
  <c r="K97" i="7" s="1"/>
  <c r="L97" i="7" s="1"/>
  <c r="K93" i="6"/>
  <c r="L93" i="6" s="1"/>
  <c r="K207" i="8"/>
  <c r="L207" i="8" s="1"/>
  <c r="K205" i="8" s="1"/>
  <c r="L205" i="8" s="1"/>
  <c r="K343" i="8"/>
  <c r="L343" i="8" s="1"/>
  <c r="K71" i="8"/>
  <c r="L71" i="8" s="1"/>
  <c r="B629" i="22"/>
  <c r="B615" i="22"/>
  <c r="B621" i="22"/>
  <c r="B630" i="22"/>
  <c r="B616" i="22"/>
  <c r="L46" i="3"/>
  <c r="K62" i="3"/>
  <c r="K55" i="3"/>
  <c r="L53" i="3"/>
  <c r="K54" i="3"/>
  <c r="L47" i="3"/>
  <c r="L48" i="3"/>
  <c r="K56" i="3"/>
  <c r="K60" i="3"/>
  <c r="K63" i="3"/>
  <c r="M5" i="11"/>
  <c r="AC22" i="23"/>
  <c r="I16" i="16"/>
  <c r="I15" i="16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198" i="7"/>
  <c r="L198" i="7" s="1"/>
  <c r="K191" i="6"/>
  <c r="L191" i="6" s="1"/>
  <c r="B546" i="22"/>
  <c r="K49" i="8"/>
  <c r="L49" i="8" s="1"/>
  <c r="K88" i="6"/>
  <c r="L88" i="6" s="1"/>
  <c r="K94" i="7"/>
  <c r="L94" i="7" s="1"/>
  <c r="K66" i="8"/>
  <c r="L66" i="8" s="1"/>
  <c r="K338" i="8"/>
  <c r="L338" i="8" s="1"/>
  <c r="K202" i="8"/>
  <c r="L202" i="8" s="1"/>
  <c r="B625" i="22"/>
  <c r="B628" i="22"/>
  <c r="B624" i="22"/>
  <c r="B626" i="22"/>
  <c r="B627" i="22"/>
  <c r="K100" i="8"/>
  <c r="L100" i="8" s="1"/>
  <c r="B690" i="22"/>
  <c r="K236" i="8"/>
  <c r="L236" i="8" s="1"/>
  <c r="B688" i="22"/>
  <c r="K142" i="6"/>
  <c r="L142" i="6" s="1"/>
  <c r="B691" i="22"/>
  <c r="K61" i="3"/>
  <c r="L49" i="3"/>
  <c r="L57" i="3"/>
  <c r="L63" i="3"/>
  <c r="K64" i="3"/>
  <c r="L55" i="3"/>
  <c r="K42" i="3"/>
  <c r="L54" i="3"/>
  <c r="K52" i="3"/>
  <c r="K49" i="3"/>
  <c r="V5" i="11"/>
  <c r="AC32" i="23"/>
  <c r="I23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126" i="8"/>
  <c r="L126" i="8" s="1"/>
  <c r="K68" i="7"/>
  <c r="L68" i="7" s="1"/>
  <c r="B547" i="22"/>
  <c r="B548" i="22"/>
  <c r="K63" i="6"/>
  <c r="L63" i="6" s="1"/>
  <c r="K73" i="6"/>
  <c r="L73" i="6" s="1"/>
  <c r="K67" i="6"/>
  <c r="L67" i="6" s="1"/>
  <c r="K73" i="7"/>
  <c r="L73" i="7" s="1"/>
  <c r="K79" i="7"/>
  <c r="L79" i="7" s="1"/>
  <c r="B633" i="22"/>
  <c r="B634" i="22"/>
  <c r="B631" i="22"/>
  <c r="B632" i="22"/>
  <c r="K85" i="6"/>
  <c r="L85" i="6" s="1"/>
  <c r="K91" i="7"/>
  <c r="L91" i="7" s="1"/>
  <c r="B623" i="22"/>
  <c r="B622" i="22"/>
  <c r="K372" i="8"/>
  <c r="L372" i="8" s="1"/>
  <c r="B692" i="22"/>
  <c r="K148" i="7"/>
  <c r="L148" i="7" s="1"/>
  <c r="B689" i="22"/>
  <c r="K50" i="3"/>
  <c r="K57" i="3"/>
  <c r="L58" i="3"/>
  <c r="K53" i="3"/>
  <c r="L56" i="3"/>
  <c r="K58" i="3"/>
  <c r="L59" i="3"/>
  <c r="L61" i="3"/>
  <c r="K48" i="3"/>
  <c r="L62" i="3"/>
  <c r="L42" i="3"/>
  <c r="W5" i="11"/>
  <c r="AC33" i="23"/>
  <c r="I24" i="16"/>
  <c r="AS92" i="23"/>
  <c r="AC13" i="23"/>
  <c r="I8" i="16"/>
  <c r="AJ5" i="11"/>
  <c r="AC48" i="23"/>
  <c r="I33" i="16"/>
  <c r="K5" i="11"/>
  <c r="AC19" i="23"/>
  <c r="I12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398" i="8"/>
  <c r="L398" i="8" s="1"/>
  <c r="K197" i="7"/>
  <c r="L197" i="7" s="1"/>
  <c r="B721" i="22"/>
  <c r="B722" i="22"/>
  <c r="P924" i="18"/>
  <c r="O922" i="18"/>
  <c r="L788" i="18"/>
  <c r="N447" i="18"/>
  <c r="B549" i="22"/>
  <c r="K321" i="8"/>
  <c r="L321" i="8" s="1"/>
  <c r="K79" i="6"/>
  <c r="L79" i="6" s="1"/>
  <c r="K55" i="8"/>
  <c r="L55" i="8" s="1"/>
  <c r="K56" i="8"/>
  <c r="L56" i="8" s="1"/>
  <c r="K85" i="7"/>
  <c r="L85" i="7" s="1"/>
  <c r="K192" i="8"/>
  <c r="L192" i="8" s="1"/>
  <c r="K327" i="8"/>
  <c r="L327" i="8" s="1"/>
  <c r="K191" i="8"/>
  <c r="L191" i="8" s="1"/>
  <c r="K328" i="8"/>
  <c r="L328" i="8" s="1"/>
  <c r="B638" i="22"/>
  <c r="B639" i="22"/>
  <c r="B636" i="22"/>
  <c r="B642" i="22"/>
  <c r="B635" i="22"/>
  <c r="B641" i="22"/>
  <c r="B637" i="22"/>
  <c r="B640" i="22"/>
  <c r="K103" i="6"/>
  <c r="L103" i="6" s="1"/>
  <c r="K109" i="7"/>
  <c r="L109" i="7" s="1"/>
  <c r="B353" i="22" s="1"/>
  <c r="B620" i="22"/>
  <c r="K98" i="6"/>
  <c r="L98" i="6" s="1"/>
  <c r="K104" i="7"/>
  <c r="L104" i="7" s="1"/>
  <c r="B645" i="22" s="1"/>
  <c r="B619" i="22"/>
  <c r="B617" i="22"/>
  <c r="B618" i="22"/>
  <c r="K44" i="3"/>
  <c r="K46" i="3"/>
  <c r="L52" i="3"/>
  <c r="K59" i="3"/>
  <c r="K43" i="3"/>
  <c r="K47" i="3"/>
  <c r="L60" i="3"/>
  <c r="L51" i="3"/>
  <c r="L50" i="3"/>
  <c r="K51" i="3"/>
  <c r="K190" i="8" l="1"/>
  <c r="L190" i="8" s="1"/>
  <c r="B761" i="22" s="1"/>
  <c r="M794" i="18"/>
  <c r="N794" i="18"/>
  <c r="P794" i="18"/>
  <c r="B367" i="22"/>
  <c r="L794" i="18"/>
  <c r="O794" i="18"/>
  <c r="K78" i="6"/>
  <c r="L78" i="6" s="1"/>
  <c r="N238" i="18"/>
  <c r="L238" i="18"/>
  <c r="M238" i="18"/>
  <c r="O238" i="18"/>
  <c r="P238" i="18"/>
  <c r="B365" i="22"/>
  <c r="AA91" i="11"/>
  <c r="AD15" i="20"/>
  <c r="BD161" i="23"/>
  <c r="K91" i="11"/>
  <c r="N15" i="20"/>
  <c r="K78" i="7"/>
  <c r="L78" i="7" s="1"/>
  <c r="O457" i="18"/>
  <c r="L457" i="18"/>
  <c r="M457" i="18"/>
  <c r="B360" i="22"/>
  <c r="N457" i="18"/>
  <c r="B757" i="22"/>
  <c r="P457" i="18"/>
  <c r="K95" i="6"/>
  <c r="L95" i="6" s="1"/>
  <c r="K90" i="6"/>
  <c r="L90" i="6" s="1"/>
  <c r="K64" i="6"/>
  <c r="L64" i="6" s="1"/>
  <c r="K100" i="6"/>
  <c r="L100" i="6" s="1"/>
  <c r="K102" i="6"/>
  <c r="L102" i="6" s="1"/>
  <c r="K96" i="6"/>
  <c r="L96" i="6" s="1"/>
  <c r="K91" i="6"/>
  <c r="L91" i="6" s="1"/>
  <c r="K97" i="6"/>
  <c r="L97" i="6" s="1"/>
  <c r="K92" i="6"/>
  <c r="L92" i="6" s="1"/>
  <c r="K101" i="6"/>
  <c r="L101" i="6" s="1"/>
  <c r="B343" i="22"/>
  <c r="B352" i="22"/>
  <c r="B345" i="22"/>
  <c r="B341" i="22"/>
  <c r="B543" i="22"/>
  <c r="B644" i="22"/>
  <c r="B354" i="22"/>
  <c r="B350" i="22"/>
  <c r="B646" i="22"/>
  <c r="B648" i="22"/>
  <c r="J91" i="11"/>
  <c r="M15" i="20"/>
  <c r="BJ34" i="23"/>
  <c r="D91" i="11"/>
  <c r="G15" i="20"/>
  <c r="K93" i="7"/>
  <c r="L93" i="7" s="1"/>
  <c r="B654" i="22"/>
  <c r="BF138" i="23"/>
  <c r="S91" i="11"/>
  <c r="V15" i="20"/>
  <c r="M91" i="11"/>
  <c r="P15" i="20"/>
  <c r="B355" i="22"/>
  <c r="K206" i="8"/>
  <c r="L206" i="8" s="1"/>
  <c r="K223" i="8"/>
  <c r="L223" i="8" s="1"/>
  <c r="L826" i="18"/>
  <c r="N826" i="18"/>
  <c r="P826" i="18"/>
  <c r="M826" i="18"/>
  <c r="O826" i="18"/>
  <c r="B349" i="22"/>
  <c r="B342" i="22"/>
  <c r="B340" i="22"/>
  <c r="K107" i="7"/>
  <c r="L107" i="7" s="1"/>
  <c r="K101" i="7"/>
  <c r="L101" i="7" s="1"/>
  <c r="K326" i="8"/>
  <c r="L326" i="8" s="1"/>
  <c r="O930" i="18"/>
  <c r="M930" i="18"/>
  <c r="L930" i="18"/>
  <c r="N930" i="18"/>
  <c r="P930" i="18"/>
  <c r="B763" i="22"/>
  <c r="B369" i="22"/>
  <c r="K84" i="7"/>
  <c r="L84" i="7" s="1"/>
  <c r="O463" i="18"/>
  <c r="P463" i="18"/>
  <c r="L463" i="18"/>
  <c r="M463" i="18"/>
  <c r="N463" i="18"/>
  <c r="B363" i="22"/>
  <c r="B759" i="22"/>
  <c r="K323" i="8"/>
  <c r="L323" i="8" s="1"/>
  <c r="K340" i="8"/>
  <c r="L340" i="8" s="1"/>
  <c r="K341" i="8"/>
  <c r="L341" i="8" s="1"/>
  <c r="B658" i="22"/>
  <c r="K342" i="8"/>
  <c r="L342" i="8" s="1"/>
  <c r="B348" i="22"/>
  <c r="B544" i="22"/>
  <c r="B357" i="22"/>
  <c r="AS29" i="23"/>
  <c r="AE91" i="11"/>
  <c r="AH15" i="20"/>
  <c r="AS28" i="23"/>
  <c r="AT149" i="23"/>
  <c r="K72" i="7"/>
  <c r="L72" i="7" s="1"/>
  <c r="B358" i="22"/>
  <c r="N451" i="18"/>
  <c r="M451" i="18"/>
  <c r="L451" i="18"/>
  <c r="O451" i="18"/>
  <c r="P451" i="18"/>
  <c r="AX161" i="23"/>
  <c r="L91" i="11"/>
  <c r="O15" i="20"/>
  <c r="K135" i="6"/>
  <c r="L135" i="6" s="1"/>
  <c r="K116" i="6" s="1"/>
  <c r="L116" i="6" s="1"/>
  <c r="K201" i="8"/>
  <c r="L201" i="8" s="1"/>
  <c r="B649" i="22"/>
  <c r="K87" i="6"/>
  <c r="L87" i="6" s="1"/>
  <c r="B655" i="22"/>
  <c r="AS30" i="23"/>
  <c r="AF91" i="11"/>
  <c r="AI15" i="20"/>
  <c r="AS94" i="23"/>
  <c r="K183" i="8"/>
  <c r="L183" i="8" s="1"/>
  <c r="K182" i="8"/>
  <c r="L182" i="8" s="1"/>
  <c r="B313" i="22"/>
  <c r="B318" i="22"/>
  <c r="B351" i="22"/>
  <c r="K102" i="7"/>
  <c r="L102" i="7" s="1"/>
  <c r="K98" i="7"/>
  <c r="L98" i="7" s="1"/>
  <c r="K108" i="7"/>
  <c r="L108" i="7" s="1"/>
  <c r="K96" i="7"/>
  <c r="L96" i="7" s="1"/>
  <c r="K189" i="8"/>
  <c r="L189" i="8" s="1"/>
  <c r="M793" i="18"/>
  <c r="P793" i="18"/>
  <c r="O793" i="18"/>
  <c r="B362" i="22"/>
  <c r="L793" i="18"/>
  <c r="N793" i="18"/>
  <c r="K54" i="8"/>
  <c r="L54" i="8" s="1"/>
  <c r="B762" i="22"/>
  <c r="P658" i="18"/>
  <c r="N658" i="18"/>
  <c r="B368" i="22"/>
  <c r="L658" i="18"/>
  <c r="O658" i="18"/>
  <c r="M658" i="18"/>
  <c r="BJ98" i="23"/>
  <c r="F91" i="11"/>
  <c r="I15" i="20"/>
  <c r="BJ161" i="23"/>
  <c r="W91" i="11"/>
  <c r="Z15" i="20"/>
  <c r="K90" i="7"/>
  <c r="L90" i="7" s="1"/>
  <c r="B652" i="22"/>
  <c r="K66" i="6"/>
  <c r="L66" i="6" s="1"/>
  <c r="M226" i="18"/>
  <c r="B359" i="22"/>
  <c r="P226" i="18"/>
  <c r="O226" i="18"/>
  <c r="N226" i="18"/>
  <c r="L226" i="18"/>
  <c r="BF149" i="23"/>
  <c r="Z91" i="11"/>
  <c r="AC15" i="20"/>
  <c r="AT138" i="23"/>
  <c r="B835" i="22"/>
  <c r="K337" i="8"/>
  <c r="L337" i="8" s="1"/>
  <c r="B651" i="22"/>
  <c r="K68" i="8"/>
  <c r="L68" i="8" s="1"/>
  <c r="K51" i="8"/>
  <c r="L51" i="8" s="1"/>
  <c r="K69" i="8"/>
  <c r="L69" i="8" s="1"/>
  <c r="K70" i="8"/>
  <c r="L70" i="8" s="1"/>
  <c r="B657" i="22"/>
  <c r="B542" i="22"/>
  <c r="B356" i="22"/>
  <c r="B347" i="22"/>
  <c r="AS93" i="23"/>
  <c r="G91" i="11"/>
  <c r="J15" i="20"/>
  <c r="AZ149" i="23"/>
  <c r="P91" i="11"/>
  <c r="S15" i="20"/>
  <c r="B656" i="22"/>
  <c r="K204" i="8"/>
  <c r="L204" i="8" s="1"/>
  <c r="K231" i="8" s="1"/>
  <c r="L231" i="8" s="1"/>
  <c r="K215" i="8" s="1"/>
  <c r="L215" i="8" s="1"/>
  <c r="BJ99" i="23"/>
  <c r="B647" i="22"/>
  <c r="B344" i="22"/>
  <c r="K103" i="7"/>
  <c r="L103" i="7" s="1"/>
  <c r="K106" i="7"/>
  <c r="L106" i="7" s="1"/>
  <c r="B823" i="22" s="1"/>
  <c r="K325" i="8"/>
  <c r="L325" i="8" s="1"/>
  <c r="M929" i="18"/>
  <c r="P929" i="18"/>
  <c r="L929" i="18"/>
  <c r="N929" i="18"/>
  <c r="B366" i="22"/>
  <c r="O929" i="18"/>
  <c r="K53" i="8"/>
  <c r="L53" i="8" s="1"/>
  <c r="B834" i="22" s="1"/>
  <c r="P657" i="18"/>
  <c r="N657" i="18"/>
  <c r="O657" i="18"/>
  <c r="M657" i="18"/>
  <c r="L657" i="18"/>
  <c r="B364" i="22"/>
  <c r="AZ138" i="23"/>
  <c r="T91" i="11"/>
  <c r="W15" i="20"/>
  <c r="BJ35" i="23"/>
  <c r="AJ91" i="11"/>
  <c r="AM15" i="20"/>
  <c r="K146" i="7"/>
  <c r="L146" i="7" s="1"/>
  <c r="K125" i="7" s="1"/>
  <c r="L125" i="7" s="1"/>
  <c r="K144" i="7"/>
  <c r="L144" i="7" s="1"/>
  <c r="K123" i="7" s="1"/>
  <c r="L123" i="7" s="1"/>
  <c r="K145" i="7"/>
  <c r="L145" i="7" s="1"/>
  <c r="K124" i="7" s="1"/>
  <c r="L124" i="7" s="1"/>
  <c r="B821" i="22"/>
  <c r="B819" i="22"/>
  <c r="K367" i="8"/>
  <c r="L367" i="8" s="1"/>
  <c r="K351" i="8" s="1"/>
  <c r="L351" i="8" s="1"/>
  <c r="B827" i="22"/>
  <c r="K84" i="6"/>
  <c r="L84" i="6" s="1"/>
  <c r="B653" i="22"/>
  <c r="K72" i="6"/>
  <c r="L72" i="6" s="1"/>
  <c r="B758" i="22" s="1"/>
  <c r="M232" i="18"/>
  <c r="B361" i="22"/>
  <c r="L232" i="18"/>
  <c r="N232" i="18"/>
  <c r="O232" i="18"/>
  <c r="P232" i="18"/>
  <c r="K133" i="7"/>
  <c r="L133" i="7" s="1"/>
  <c r="O511" i="18"/>
  <c r="P511" i="18"/>
  <c r="L511" i="18"/>
  <c r="M511" i="18"/>
  <c r="N511" i="18"/>
  <c r="BJ36" i="23"/>
  <c r="AG91" i="11"/>
  <c r="AJ15" i="20"/>
  <c r="AC49" i="23"/>
  <c r="AS11" i="23"/>
  <c r="V91" i="11"/>
  <c r="Y15" i="20"/>
  <c r="K134" i="6"/>
  <c r="L134" i="6" s="1"/>
  <c r="K115" i="6" s="1"/>
  <c r="L115" i="6" s="1"/>
  <c r="K138" i="6"/>
  <c r="L138" i="6" s="1"/>
  <c r="K117" i="6" s="1"/>
  <c r="L117" i="6" s="1"/>
  <c r="K139" i="6"/>
  <c r="L139" i="6" s="1"/>
  <c r="K118" i="6" s="1"/>
  <c r="L118" i="6" s="1"/>
  <c r="K140" i="6"/>
  <c r="L140" i="6" s="1"/>
  <c r="K119" i="6" s="1"/>
  <c r="L119" i="6" s="1"/>
  <c r="B824" i="22"/>
  <c r="B822" i="22"/>
  <c r="B820" i="22"/>
  <c r="B825" i="22"/>
  <c r="K95" i="8"/>
  <c r="L95" i="8" s="1"/>
  <c r="K79" i="8" s="1"/>
  <c r="L79" i="8" s="1"/>
  <c r="B826" i="22"/>
  <c r="K65" i="8"/>
  <c r="L65" i="8" s="1"/>
  <c r="B650" i="22"/>
  <c r="O91" i="11"/>
  <c r="R15" i="20"/>
  <c r="BJ100" i="23"/>
  <c r="AB91" i="11"/>
  <c r="AE15" i="20"/>
  <c r="AS75" i="23"/>
  <c r="B346" i="22"/>
  <c r="U91" i="11"/>
  <c r="X15" i="20"/>
  <c r="B643" i="22"/>
  <c r="K67" i="7"/>
  <c r="L67" i="7" s="1"/>
  <c r="K66" i="7"/>
  <c r="L66" i="7" s="1"/>
  <c r="B319" i="22"/>
  <c r="B314" i="22"/>
  <c r="AE32" i="11" l="1"/>
  <c r="K132" i="7"/>
  <c r="L132" i="7" s="1"/>
  <c r="B211" i="22"/>
  <c r="B324" i="22"/>
  <c r="B15" i="22"/>
  <c r="K9" i="11"/>
  <c r="F9" i="11"/>
  <c r="K138" i="7"/>
  <c r="L138" i="7" s="1"/>
  <c r="K203" i="7"/>
  <c r="L203" i="7" s="1"/>
  <c r="K137" i="7"/>
  <c r="L137" i="7" s="1"/>
  <c r="K134" i="7"/>
  <c r="L134" i="7" s="1"/>
  <c r="B376" i="22"/>
  <c r="N512" i="18"/>
  <c r="B375" i="22"/>
  <c r="B372" i="22"/>
  <c r="B373" i="22"/>
  <c r="O512" i="18"/>
  <c r="M512" i="18"/>
  <c r="B377" i="22"/>
  <c r="M513" i="18"/>
  <c r="L512" i="18"/>
  <c r="L513" i="18"/>
  <c r="B551" i="22"/>
  <c r="B389" i="22"/>
  <c r="B411" i="22"/>
  <c r="N513" i="18"/>
  <c r="P513" i="18"/>
  <c r="O513" i="18"/>
  <c r="B374" i="22"/>
  <c r="P512" i="18"/>
  <c r="K112" i="8"/>
  <c r="L112" i="8" s="1"/>
  <c r="K104" i="8" s="1"/>
  <c r="L104" i="8" s="1"/>
  <c r="B206" i="22"/>
  <c r="L9" i="11"/>
  <c r="K163" i="6"/>
  <c r="L163" i="6" s="1"/>
  <c r="K149" i="6" s="1"/>
  <c r="L149" i="6" s="1"/>
  <c r="B202" i="22"/>
  <c r="U18" i="11"/>
  <c r="K383" i="8"/>
  <c r="L383" i="8" s="1"/>
  <c r="B517" i="22"/>
  <c r="B579" i="22"/>
  <c r="K404" i="8"/>
  <c r="L404" i="8" s="1"/>
  <c r="K116" i="8"/>
  <c r="L116" i="8" s="1"/>
  <c r="B755" i="22"/>
  <c r="B475" i="22"/>
  <c r="B681" i="22"/>
  <c r="B473" i="22"/>
  <c r="K127" i="8"/>
  <c r="L127" i="8" s="1"/>
  <c r="B483" i="22"/>
  <c r="B572" i="22"/>
  <c r="K200" i="6"/>
  <c r="L200" i="6" s="1"/>
  <c r="B571" i="22"/>
  <c r="K206" i="7"/>
  <c r="L206" i="7" s="1"/>
  <c r="B479" i="22"/>
  <c r="K139" i="7"/>
  <c r="L139" i="7" s="1"/>
  <c r="K120" i="7" s="1"/>
  <c r="L120" i="7" s="1"/>
  <c r="B828" i="22"/>
  <c r="K133" i="6"/>
  <c r="L133" i="6" s="1"/>
  <c r="K114" i="6" s="1"/>
  <c r="L114" i="6" s="1"/>
  <c r="K174" i="6"/>
  <c r="L174" i="6" s="1"/>
  <c r="L10" i="11" s="1"/>
  <c r="K171" i="6"/>
  <c r="L171" i="6" s="1"/>
  <c r="B753" i="22"/>
  <c r="B455" i="22"/>
  <c r="B679" i="22"/>
  <c r="B453" i="22"/>
  <c r="K195" i="6"/>
  <c r="L195" i="6" s="1"/>
  <c r="K111" i="8"/>
  <c r="L111" i="8" s="1"/>
  <c r="K132" i="8"/>
  <c r="L132" i="8" s="1"/>
  <c r="B577" i="22"/>
  <c r="B507" i="22"/>
  <c r="K180" i="7"/>
  <c r="L180" i="7" s="1"/>
  <c r="U19" i="11" s="1"/>
  <c r="K177" i="7"/>
  <c r="L177" i="7" s="1"/>
  <c r="B678" i="22"/>
  <c r="B752" i="22"/>
  <c r="B452" i="22"/>
  <c r="B450" i="22"/>
  <c r="K201" i="7"/>
  <c r="L201" i="7" s="1"/>
  <c r="K252" i="8"/>
  <c r="L252" i="8" s="1"/>
  <c r="B458" i="22"/>
  <c r="B680" i="22"/>
  <c r="B754" i="22"/>
  <c r="B456" i="22"/>
  <c r="K263" i="8"/>
  <c r="L263" i="8" s="1"/>
  <c r="K268" i="8"/>
  <c r="L268" i="8" s="1"/>
  <c r="B575" i="22"/>
  <c r="B498" i="22"/>
  <c r="B832" i="22"/>
  <c r="K230" i="8"/>
  <c r="L230" i="8" s="1"/>
  <c r="K214" i="8" s="1"/>
  <c r="L214" i="8" s="1"/>
  <c r="K248" i="8"/>
  <c r="L248" i="8" s="1"/>
  <c r="K240" i="8" s="1"/>
  <c r="L240" i="8" s="1"/>
  <c r="B205" i="22"/>
  <c r="K388" i="8"/>
  <c r="L388" i="8" s="1"/>
  <c r="B682" i="22"/>
  <c r="B756" i="22"/>
  <c r="B478" i="22"/>
  <c r="B476" i="22"/>
  <c r="K399" i="8"/>
  <c r="L399" i="8" s="1"/>
  <c r="B829" i="22"/>
  <c r="K61" i="6"/>
  <c r="L61" i="6" s="1"/>
  <c r="K60" i="6"/>
  <c r="L60" i="6" s="1"/>
  <c r="B321" i="22"/>
  <c r="B316" i="22"/>
  <c r="K62" i="6"/>
  <c r="L62" i="6" s="1"/>
  <c r="K153" i="6"/>
  <c r="L153" i="6" s="1"/>
  <c r="K148" i="6" s="1"/>
  <c r="L148" i="6" s="1"/>
  <c r="K164" i="6"/>
  <c r="L164" i="6" s="1"/>
  <c r="B5" i="22"/>
  <c r="K202" i="6"/>
  <c r="L202" i="6" s="1"/>
  <c r="B513" i="22"/>
  <c r="B578" i="22"/>
  <c r="K247" i="8"/>
  <c r="L247" i="8" s="1"/>
  <c r="K241" i="8"/>
  <c r="L241" i="8" s="1"/>
  <c r="B6" i="22"/>
  <c r="B580" i="22"/>
  <c r="K269" i="8"/>
  <c r="L269" i="8" s="1"/>
  <c r="B521" i="22"/>
  <c r="Z27" i="11"/>
  <c r="J9" i="11"/>
  <c r="K129" i="7"/>
  <c r="L129" i="7" s="1"/>
  <c r="B660" i="22"/>
  <c r="K151" i="6"/>
  <c r="L151" i="6" s="1"/>
  <c r="K147" i="6" s="1"/>
  <c r="L147" i="6" s="1"/>
  <c r="K162" i="6"/>
  <c r="L162" i="6" s="1"/>
  <c r="B3" i="22"/>
  <c r="K201" i="6"/>
  <c r="L201" i="6" s="1"/>
  <c r="B493" i="22"/>
  <c r="B574" i="22"/>
  <c r="AJ37" i="11"/>
  <c r="T18" i="11"/>
  <c r="K384" i="8"/>
  <c r="L384" i="8" s="1"/>
  <c r="K376" i="8" s="1"/>
  <c r="L376" i="8" s="1"/>
  <c r="B207" i="22"/>
  <c r="K169" i="7"/>
  <c r="L169" i="7" s="1"/>
  <c r="K155" i="7" s="1"/>
  <c r="L155" i="7" s="1"/>
  <c r="B201" i="22"/>
  <c r="K105" i="8"/>
  <c r="L105" i="8" s="1"/>
  <c r="K103" i="8" s="1"/>
  <c r="L103" i="8" s="1"/>
  <c r="B7" i="22"/>
  <c r="K133" i="8"/>
  <c r="L133" i="8" s="1"/>
  <c r="B525" i="22"/>
  <c r="B581" i="22"/>
  <c r="K175" i="7"/>
  <c r="L175" i="7" s="1"/>
  <c r="K178" i="7"/>
  <c r="L178" i="7" s="1"/>
  <c r="S19" i="11" s="1"/>
  <c r="B674" i="22"/>
  <c r="B440" i="22"/>
  <c r="B748" i="22"/>
  <c r="B438" i="22"/>
  <c r="K199" i="7"/>
  <c r="L199" i="7" s="1"/>
  <c r="K229" i="8"/>
  <c r="L229" i="8" s="1"/>
  <c r="K265" i="8"/>
  <c r="L265" i="8" s="1"/>
  <c r="K228" i="8"/>
  <c r="L228" i="8" s="1"/>
  <c r="K224" i="8"/>
  <c r="L224" i="8" s="1"/>
  <c r="L827" i="18"/>
  <c r="B550" i="22"/>
  <c r="P828" i="18"/>
  <c r="B388" i="22"/>
  <c r="O828" i="18"/>
  <c r="O827" i="18"/>
  <c r="B371" i="22"/>
  <c r="L828" i="18"/>
  <c r="M828" i="18"/>
  <c r="M827" i="18"/>
  <c r="N828" i="18"/>
  <c r="B370" i="22"/>
  <c r="N827" i="18"/>
  <c r="B407" i="22"/>
  <c r="P827" i="18"/>
  <c r="G9" i="11"/>
  <c r="K319" i="8"/>
  <c r="L319" i="8" s="1"/>
  <c r="K318" i="8"/>
  <c r="L318" i="8" s="1"/>
  <c r="B322" i="22"/>
  <c r="B317" i="22"/>
  <c r="K320" i="8"/>
  <c r="L320" i="8" s="1"/>
  <c r="K170" i="7"/>
  <c r="L170" i="7" s="1"/>
  <c r="K159" i="7"/>
  <c r="L159" i="7" s="1"/>
  <c r="K154" i="7" s="1"/>
  <c r="L154" i="7" s="1"/>
  <c r="B4" i="22"/>
  <c r="K208" i="7"/>
  <c r="L208" i="7" s="1"/>
  <c r="B576" i="22"/>
  <c r="B502" i="22"/>
  <c r="B833" i="22"/>
  <c r="K141" i="7"/>
  <c r="L141" i="7" s="1"/>
  <c r="K122" i="7" s="1"/>
  <c r="L122" i="7" s="1"/>
  <c r="K377" i="8"/>
  <c r="L377" i="8" s="1"/>
  <c r="K375" i="8" s="1"/>
  <c r="L375" i="8" s="1"/>
  <c r="B8" i="22"/>
  <c r="K405" i="8"/>
  <c r="L405" i="8" s="1"/>
  <c r="B582" i="22"/>
  <c r="B530" i="22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K94" i="8"/>
  <c r="L94" i="8" s="1"/>
  <c r="K78" i="8" s="1"/>
  <c r="L78" i="8" s="1"/>
  <c r="S18" i="11"/>
  <c r="K46" i="8"/>
  <c r="L46" i="8" s="1"/>
  <c r="K47" i="8"/>
  <c r="L47" i="8" s="1"/>
  <c r="B315" i="22"/>
  <c r="B320" i="22"/>
  <c r="K48" i="8"/>
  <c r="L48" i="8" s="1"/>
  <c r="K366" i="8"/>
  <c r="L366" i="8" s="1"/>
  <c r="K350" i="8" s="1"/>
  <c r="L350" i="8" s="1"/>
  <c r="K222" i="8"/>
  <c r="L222" i="8" s="1"/>
  <c r="B14" i="22"/>
  <c r="B323" i="22"/>
  <c r="B210" i="22"/>
  <c r="K165" i="6"/>
  <c r="L165" i="6" s="1"/>
  <c r="K150" i="6" s="1"/>
  <c r="L150" i="6" s="1"/>
  <c r="B204" i="22"/>
  <c r="B831" i="22"/>
  <c r="K176" i="7"/>
  <c r="L176" i="7" s="1"/>
  <c r="K179" i="7"/>
  <c r="L179" i="7" s="1"/>
  <c r="T19" i="11" s="1"/>
  <c r="B676" i="22"/>
  <c r="B446" i="22"/>
  <c r="B750" i="22"/>
  <c r="B444" i="22"/>
  <c r="K200" i="7"/>
  <c r="L200" i="7" s="1"/>
  <c r="K219" i="8"/>
  <c r="L219" i="8" s="1"/>
  <c r="B659" i="22"/>
  <c r="K171" i="7"/>
  <c r="L171" i="7" s="1"/>
  <c r="K156" i="7" s="1"/>
  <c r="L156" i="7" s="1"/>
  <c r="B203" i="22"/>
  <c r="C91" i="11"/>
  <c r="K173" i="6"/>
  <c r="L173" i="6" s="1"/>
  <c r="K10" i="11" s="1"/>
  <c r="K170" i="6"/>
  <c r="L170" i="6" s="1"/>
  <c r="B449" i="22"/>
  <c r="B751" i="22"/>
  <c r="B677" i="22"/>
  <c r="B447" i="22"/>
  <c r="K194" i="6"/>
  <c r="L194" i="6" s="1"/>
  <c r="K157" i="7"/>
  <c r="L157" i="7" s="1"/>
  <c r="K153" i="7" s="1"/>
  <c r="L153" i="7" s="1"/>
  <c r="K168" i="7"/>
  <c r="L168" i="7" s="1"/>
  <c r="B2" i="22"/>
  <c r="B573" i="22"/>
  <c r="K207" i="7"/>
  <c r="L207" i="7" s="1"/>
  <c r="B487" i="22"/>
  <c r="B830" i="22"/>
  <c r="K140" i="7"/>
  <c r="L140" i="7" s="1"/>
  <c r="K121" i="7" s="1"/>
  <c r="L121" i="7" s="1"/>
  <c r="B760" i="22"/>
  <c r="B836" i="22"/>
  <c r="O22" i="11" l="1"/>
  <c r="T20" i="11"/>
  <c r="K218" i="8"/>
  <c r="L218" i="8" s="1"/>
  <c r="K217" i="8" s="1"/>
  <c r="L217" i="8" s="1"/>
  <c r="K216" i="8" s="1"/>
  <c r="L216" i="8" s="1"/>
  <c r="L816" i="18"/>
  <c r="N816" i="18"/>
  <c r="N817" i="18"/>
  <c r="L817" i="18"/>
  <c r="M817" i="18"/>
  <c r="P817" i="18"/>
  <c r="O817" i="18"/>
  <c r="O816" i="18"/>
  <c r="M816" i="18"/>
  <c r="P816" i="18"/>
  <c r="B593" i="22"/>
  <c r="K359" i="8"/>
  <c r="L359" i="8" s="1"/>
  <c r="M962" i="18"/>
  <c r="P962" i="18"/>
  <c r="L962" i="18"/>
  <c r="N962" i="18"/>
  <c r="O962" i="18"/>
  <c r="K358" i="8"/>
  <c r="L358" i="8" s="1"/>
  <c r="B327" i="22"/>
  <c r="B214" i="22"/>
  <c r="B18" i="22"/>
  <c r="F13" i="11"/>
  <c r="K239" i="8"/>
  <c r="L239" i="8" s="1"/>
  <c r="K190" i="6"/>
  <c r="L190" i="6" s="1"/>
  <c r="K127" i="6"/>
  <c r="L127" i="6" s="1"/>
  <c r="O286" i="18"/>
  <c r="L286" i="18"/>
  <c r="P286" i="18"/>
  <c r="N286" i="18"/>
  <c r="M286" i="18"/>
  <c r="K126" i="6"/>
  <c r="L126" i="6" s="1"/>
  <c r="B213" i="22"/>
  <c r="B17" i="22"/>
  <c r="B326" i="22"/>
  <c r="AD34" i="11"/>
  <c r="K128" i="7"/>
  <c r="L128" i="7" s="1"/>
  <c r="K127" i="7" s="1"/>
  <c r="L127" i="7" s="1"/>
  <c r="K126" i="7" s="1"/>
  <c r="L126" i="7" s="1"/>
  <c r="N494" i="18"/>
  <c r="L495" i="18"/>
  <c r="O496" i="18"/>
  <c r="N495" i="18"/>
  <c r="O498" i="18"/>
  <c r="O493" i="18"/>
  <c r="L497" i="18"/>
  <c r="N496" i="18"/>
  <c r="M494" i="18"/>
  <c r="N493" i="18"/>
  <c r="L498" i="18"/>
  <c r="P494" i="18"/>
  <c r="P497" i="18"/>
  <c r="N497" i="18"/>
  <c r="P496" i="18"/>
  <c r="M493" i="18"/>
  <c r="L493" i="18"/>
  <c r="L496" i="18"/>
  <c r="L494" i="18"/>
  <c r="O495" i="18"/>
  <c r="M495" i="18"/>
  <c r="O494" i="18"/>
  <c r="P495" i="18"/>
  <c r="N498" i="18"/>
  <c r="O497" i="18"/>
  <c r="M497" i="18"/>
  <c r="M498" i="18"/>
  <c r="P493" i="18"/>
  <c r="B594" i="22"/>
  <c r="P498" i="18"/>
  <c r="M496" i="18"/>
  <c r="AG37" i="11"/>
  <c r="J11" i="11"/>
  <c r="K397" i="8"/>
  <c r="L397" i="8" s="1"/>
  <c r="AH40" i="11"/>
  <c r="K259" i="8"/>
  <c r="L259" i="8" s="1"/>
  <c r="B588" i="22"/>
  <c r="K125" i="8"/>
  <c r="L125" i="8" s="1"/>
  <c r="X30" i="11"/>
  <c r="AI39" i="11"/>
  <c r="G14" i="11"/>
  <c r="AJ38" i="11"/>
  <c r="AB32" i="11"/>
  <c r="K260" i="8"/>
  <c r="L260" i="8" s="1"/>
  <c r="U20" i="11"/>
  <c r="K124" i="8"/>
  <c r="L124" i="8" s="1"/>
  <c r="E9" i="11"/>
  <c r="K194" i="7"/>
  <c r="L194" i="7" s="1"/>
  <c r="K396" i="8"/>
  <c r="L396" i="8" s="1"/>
  <c r="K193" i="7"/>
  <c r="L193" i="7" s="1"/>
  <c r="B589" i="22"/>
  <c r="R21" i="11"/>
  <c r="K86" i="8"/>
  <c r="L86" i="8" s="1"/>
  <c r="B212" i="22"/>
  <c r="B16" i="22"/>
  <c r="B325" i="22"/>
  <c r="W27" i="11"/>
  <c r="P18" i="11"/>
  <c r="K196" i="7"/>
  <c r="L196" i="7" s="1"/>
  <c r="P23" i="11"/>
  <c r="S20" i="11"/>
  <c r="AE33" i="11"/>
  <c r="AE36" i="11" s="1"/>
  <c r="Z28" i="11"/>
  <c r="Z31" i="11" s="1"/>
  <c r="H11" i="11"/>
  <c r="Y29" i="11"/>
  <c r="T25" i="11"/>
  <c r="K195" i="7"/>
  <c r="L195" i="7" s="1"/>
  <c r="O18" i="11"/>
  <c r="K11" i="11"/>
  <c r="I12" i="11"/>
  <c r="K87" i="8"/>
  <c r="L87" i="8" s="1"/>
  <c r="M690" i="18"/>
  <c r="L690" i="18"/>
  <c r="O690" i="18"/>
  <c r="N690" i="18"/>
  <c r="P690" i="18"/>
  <c r="K129" i="8"/>
  <c r="L129" i="8" s="1"/>
  <c r="K92" i="8"/>
  <c r="L92" i="8" s="1"/>
  <c r="K93" i="8"/>
  <c r="L93" i="8" s="1"/>
  <c r="K88" i="8"/>
  <c r="L88" i="8" s="1"/>
  <c r="B379" i="22"/>
  <c r="O692" i="18"/>
  <c r="M691" i="18"/>
  <c r="L692" i="18"/>
  <c r="N692" i="18"/>
  <c r="O691" i="18"/>
  <c r="P691" i="18"/>
  <c r="M692" i="18"/>
  <c r="B420" i="22"/>
  <c r="P692" i="18"/>
  <c r="B552" i="22"/>
  <c r="L691" i="18"/>
  <c r="B390" i="22"/>
  <c r="B378" i="22"/>
  <c r="N691" i="18"/>
  <c r="J15" i="11"/>
  <c r="K401" i="8"/>
  <c r="L401" i="8" s="1"/>
  <c r="K365" i="8"/>
  <c r="L365" i="8" s="1"/>
  <c r="K360" i="8"/>
  <c r="L360" i="8" s="1"/>
  <c r="K364" i="8"/>
  <c r="L364" i="8" s="1"/>
  <c r="L964" i="18"/>
  <c r="B386" i="22"/>
  <c r="P963" i="18"/>
  <c r="M963" i="18"/>
  <c r="N964" i="18"/>
  <c r="B387" i="22"/>
  <c r="O964" i="18"/>
  <c r="B554" i="22"/>
  <c r="O963" i="18"/>
  <c r="B434" i="22"/>
  <c r="P964" i="18"/>
  <c r="L963" i="18"/>
  <c r="N963" i="18"/>
  <c r="B392" i="22"/>
  <c r="M964" i="18"/>
  <c r="S24" i="11"/>
  <c r="Q20" i="11"/>
  <c r="K189" i="6"/>
  <c r="L189" i="6" s="1"/>
  <c r="K261" i="8"/>
  <c r="L261" i="8" s="1"/>
  <c r="K197" i="6"/>
  <c r="L197" i="6" s="1"/>
  <c r="K128" i="6"/>
  <c r="L128" i="6" s="1"/>
  <c r="K132" i="6"/>
  <c r="L132" i="6" s="1"/>
  <c r="K131" i="6"/>
  <c r="L131" i="6" s="1"/>
  <c r="P288" i="18"/>
  <c r="B385" i="22"/>
  <c r="N288" i="18"/>
  <c r="B384" i="22"/>
  <c r="P287" i="18"/>
  <c r="O288" i="18"/>
  <c r="B391" i="22"/>
  <c r="L288" i="18"/>
  <c r="B383" i="22"/>
  <c r="B382" i="22"/>
  <c r="B380" i="22"/>
  <c r="O287" i="18"/>
  <c r="B426" i="22"/>
  <c r="B553" i="22"/>
  <c r="L287" i="18"/>
  <c r="B381" i="22"/>
  <c r="M287" i="18"/>
  <c r="N287" i="18"/>
  <c r="M288" i="18"/>
  <c r="AJ41" i="11"/>
  <c r="U26" i="11"/>
  <c r="L11" i="11"/>
  <c r="N18" i="11"/>
  <c r="K188" i="6"/>
  <c r="L188" i="6" s="1"/>
  <c r="E10" i="11" l="1"/>
  <c r="K123" i="8"/>
  <c r="L123" i="8" s="1"/>
  <c r="B590" i="22"/>
  <c r="H13" i="11"/>
  <c r="P21" i="11"/>
  <c r="N19" i="11"/>
  <c r="L17" i="11"/>
  <c r="AI40" i="11"/>
  <c r="AD35" i="11"/>
  <c r="K122" i="6"/>
  <c r="L122" i="6" s="1"/>
  <c r="L271" i="18"/>
  <c r="O270" i="18"/>
  <c r="M273" i="18"/>
  <c r="N272" i="18"/>
  <c r="N270" i="18"/>
  <c r="P272" i="18"/>
  <c r="N273" i="18"/>
  <c r="P269" i="18"/>
  <c r="N271" i="18"/>
  <c r="M272" i="18"/>
  <c r="P273" i="18"/>
  <c r="L273" i="18"/>
  <c r="M270" i="18"/>
  <c r="M271" i="18"/>
  <c r="L268" i="18"/>
  <c r="B596" i="22"/>
  <c r="M268" i="18"/>
  <c r="P268" i="18"/>
  <c r="O271" i="18"/>
  <c r="L269" i="18"/>
  <c r="N269" i="18"/>
  <c r="O273" i="18"/>
  <c r="M269" i="18"/>
  <c r="P271" i="18"/>
  <c r="P270" i="18"/>
  <c r="O268" i="18"/>
  <c r="O269" i="18"/>
  <c r="O272" i="18"/>
  <c r="L270" i="18"/>
  <c r="L272" i="18"/>
  <c r="N268" i="18"/>
  <c r="G12" i="11"/>
  <c r="K355" i="8"/>
  <c r="L355" i="8" s="1"/>
  <c r="B663" i="22"/>
  <c r="K212" i="8"/>
  <c r="L212" i="8" s="1"/>
  <c r="K213" i="8"/>
  <c r="L213" i="8" s="1"/>
  <c r="Q22" i="11"/>
  <c r="I14" i="11"/>
  <c r="O20" i="11"/>
  <c r="K16" i="11"/>
  <c r="Y30" i="11"/>
  <c r="R23" i="11"/>
  <c r="X29" i="11"/>
  <c r="AC35" i="11"/>
  <c r="K187" i="6"/>
  <c r="L187" i="6" s="1"/>
  <c r="B591" i="22"/>
  <c r="F11" i="11"/>
  <c r="K83" i="8"/>
  <c r="L83" i="8" s="1"/>
  <c r="B661" i="22"/>
  <c r="K82" i="8"/>
  <c r="L82" i="8" s="1"/>
  <c r="L681" i="18"/>
  <c r="L680" i="18"/>
  <c r="M681" i="18"/>
  <c r="O681" i="18"/>
  <c r="N680" i="18"/>
  <c r="B595" i="22"/>
  <c r="P680" i="18"/>
  <c r="O680" i="18"/>
  <c r="N681" i="18"/>
  <c r="M680" i="18"/>
  <c r="P681" i="18"/>
  <c r="AG38" i="11"/>
  <c r="W28" i="11"/>
  <c r="AB33" i="11"/>
  <c r="AH39" i="11"/>
  <c r="K123" i="6"/>
  <c r="L123" i="6" s="1"/>
  <c r="B662" i="22"/>
  <c r="K354" i="8"/>
  <c r="L354" i="8" s="1"/>
  <c r="K353" i="8" s="1"/>
  <c r="L353" i="8" s="1"/>
  <c r="K352" i="8" s="1"/>
  <c r="L352" i="8" s="1"/>
  <c r="P952" i="18"/>
  <c r="L952" i="18"/>
  <c r="B597" i="22"/>
  <c r="M952" i="18"/>
  <c r="L953" i="18"/>
  <c r="M953" i="18"/>
  <c r="N952" i="18"/>
  <c r="O952" i="18"/>
  <c r="O953" i="18"/>
  <c r="P953" i="18"/>
  <c r="N953" i="18"/>
  <c r="K395" i="8"/>
  <c r="L395" i="8" s="1"/>
  <c r="B592" i="22"/>
  <c r="K115" i="7"/>
  <c r="L115" i="7" s="1"/>
  <c r="K119" i="7"/>
  <c r="L119" i="7" s="1"/>
  <c r="K114" i="7"/>
  <c r="L114" i="7" s="1"/>
  <c r="K118" i="7"/>
  <c r="L118" i="7" s="1"/>
  <c r="K117" i="7"/>
  <c r="L117" i="7" s="1"/>
  <c r="K116" i="7"/>
  <c r="L116" i="7" s="1"/>
  <c r="M21" i="11" l="1"/>
  <c r="M24" i="11"/>
  <c r="AA36" i="11"/>
  <c r="M26" i="11"/>
  <c r="M20" i="11"/>
  <c r="M25" i="11"/>
  <c r="AA33" i="11"/>
  <c r="K121" i="6"/>
  <c r="L121" i="6" s="1"/>
  <c r="K120" i="6" s="1"/>
  <c r="L120" i="6" s="1"/>
  <c r="M19" i="11"/>
  <c r="K348" i="8"/>
  <c r="L348" i="8" s="1"/>
  <c r="K349" i="8"/>
  <c r="L349" i="8" s="1"/>
  <c r="K81" i="8"/>
  <c r="L81" i="8" s="1"/>
  <c r="K80" i="8" s="1"/>
  <c r="L80" i="8" s="1"/>
  <c r="AC34" i="11"/>
  <c r="AA32" i="11" l="1"/>
  <c r="K76" i="8"/>
  <c r="L76" i="8" s="1"/>
  <c r="K77" i="8"/>
  <c r="L77" i="8" s="1"/>
  <c r="K108" i="6"/>
  <c r="L108" i="6" s="1"/>
  <c r="K110" i="6"/>
  <c r="L110" i="6" s="1"/>
  <c r="K112" i="6"/>
  <c r="L112" i="6" s="1"/>
  <c r="K109" i="6"/>
  <c r="L109" i="6" s="1"/>
  <c r="K111" i="6"/>
  <c r="L111" i="6" s="1"/>
  <c r="K113" i="6"/>
  <c r="L113" i="6" s="1"/>
  <c r="M18" i="11"/>
  <c r="AF41" i="11"/>
  <c r="AF38" i="11"/>
  <c r="D11" i="11" l="1"/>
  <c r="V31" i="11"/>
  <c r="V28" i="11"/>
  <c r="AF37" i="11"/>
  <c r="D16" i="11"/>
  <c r="D17" i="11"/>
  <c r="D12" i="11"/>
  <c r="D15" i="11"/>
  <c r="D10" i="11"/>
  <c r="D9" i="11" l="1"/>
  <c r="D45" i="11" s="1" a="1"/>
  <c r="V27" i="11"/>
  <c r="F45" i="11" l="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E45" i="11"/>
  <c r="I45" i="11"/>
  <c r="M45" i="11"/>
  <c r="Q45" i="11"/>
  <c r="U45" i="11"/>
  <c r="Y45" i="11"/>
  <c r="AC45" i="11"/>
  <c r="AG45" i="11"/>
  <c r="D45" i="11"/>
  <c r="G45" i="11"/>
  <c r="K45" i="11"/>
  <c r="O45" i="11"/>
  <c r="S45" i="11"/>
  <c r="W45" i="11"/>
  <c r="AA45" i="11"/>
  <c r="AE45" i="11"/>
  <c r="AI45" i="11"/>
  <c r="AE59" i="11" l="1"/>
  <c r="AE57" i="11"/>
  <c r="AE58" i="11"/>
  <c r="AE60" i="11"/>
  <c r="AE63" i="11"/>
  <c r="AE65" i="11"/>
  <c r="AE67" i="11"/>
  <c r="AE69" i="11"/>
  <c r="AE56" i="11"/>
  <c r="AE61" i="11"/>
  <c r="AE62" i="11"/>
  <c r="AE64" i="11"/>
  <c r="AE66" i="11"/>
  <c r="AE68" i="11"/>
  <c r="AE70" i="11"/>
  <c r="AE72" i="11"/>
  <c r="AE74" i="11"/>
  <c r="AE76" i="11"/>
  <c r="AE80" i="11"/>
  <c r="AE85" i="11"/>
  <c r="AE75" i="11"/>
  <c r="AE77" i="11"/>
  <c r="AE83" i="11"/>
  <c r="AE84" i="11"/>
  <c r="AE71" i="11"/>
  <c r="AE73" i="11"/>
  <c r="I47" i="23"/>
  <c r="AE46" i="11"/>
  <c r="CS12" i="23"/>
  <c r="AE50" i="11"/>
  <c r="AE55" i="11"/>
  <c r="AE81" i="11"/>
  <c r="AE86" i="11"/>
  <c r="AE87" i="11"/>
  <c r="AE49" i="11"/>
  <c r="AE48" i="11" s="1"/>
  <c r="AG42" i="23"/>
  <c r="AK42" i="23"/>
  <c r="AK38" i="23" s="1"/>
  <c r="BD144" i="23"/>
  <c r="AE94" i="11"/>
  <c r="AE78" i="11"/>
  <c r="AL42" i="23"/>
  <c r="AL39" i="23" s="1"/>
  <c r="BB147" i="23" s="1"/>
  <c r="AE79" i="11"/>
  <c r="O59" i="11"/>
  <c r="O57" i="11"/>
  <c r="O60" i="11"/>
  <c r="O67" i="11"/>
  <c r="O71" i="11"/>
  <c r="O75" i="11"/>
  <c r="O79" i="11"/>
  <c r="O83" i="11"/>
  <c r="O87" i="11"/>
  <c r="O63" i="11"/>
  <c r="O65" i="11"/>
  <c r="O72" i="11"/>
  <c r="O76" i="11"/>
  <c r="O80" i="11"/>
  <c r="O84" i="11"/>
  <c r="O56" i="11"/>
  <c r="O61" i="11"/>
  <c r="O62" i="11"/>
  <c r="O69" i="11"/>
  <c r="O73" i="11"/>
  <c r="O77" i="11"/>
  <c r="O81" i="11"/>
  <c r="O85" i="11"/>
  <c r="O78" i="11"/>
  <c r="AD23" i="23"/>
  <c r="AE24" i="23"/>
  <c r="AS89" i="23" s="1"/>
  <c r="O82" i="11"/>
  <c r="O50" i="11"/>
  <c r="O70" i="11"/>
  <c r="O86" i="11"/>
  <c r="O55" i="11"/>
  <c r="O74" i="11"/>
  <c r="E19" i="23"/>
  <c r="O49" i="11"/>
  <c r="O48" i="11" s="1"/>
  <c r="O46" i="11"/>
  <c r="CC12" i="23"/>
  <c r="AI24" i="23"/>
  <c r="AM24" i="23"/>
  <c r="AM26" i="23"/>
  <c r="AG24" i="23"/>
  <c r="AX95" i="23" s="1"/>
  <c r="O94" i="11"/>
  <c r="O68" i="11"/>
  <c r="O64" i="11"/>
  <c r="AG56" i="11"/>
  <c r="AG62" i="11"/>
  <c r="AG64" i="11"/>
  <c r="AG66" i="11"/>
  <c r="AG55" i="11"/>
  <c r="AG58" i="11"/>
  <c r="AG59" i="11"/>
  <c r="AG87" i="11"/>
  <c r="AG57" i="11"/>
  <c r="AG72" i="11"/>
  <c r="AG76" i="11"/>
  <c r="AG80" i="11"/>
  <c r="AG86" i="11"/>
  <c r="AG63" i="11"/>
  <c r="AG65" i="11"/>
  <c r="AG69" i="11"/>
  <c r="AG70" i="11"/>
  <c r="AG74" i="11"/>
  <c r="AG75" i="11"/>
  <c r="AG77" i="11"/>
  <c r="AG78" i="11"/>
  <c r="AG82" i="11"/>
  <c r="AG60" i="11"/>
  <c r="AG68" i="11"/>
  <c r="AG67" i="11"/>
  <c r="AG50" i="11"/>
  <c r="AG49" i="11"/>
  <c r="AG48" i="11" s="1"/>
  <c r="AG79" i="11"/>
  <c r="AG85" i="11"/>
  <c r="K27" i="23"/>
  <c r="AG61" i="11"/>
  <c r="AG71" i="11"/>
  <c r="AG73" i="11"/>
  <c r="AD46" i="23"/>
  <c r="AG81" i="11"/>
  <c r="AE45" i="23"/>
  <c r="BE147" i="23" s="1"/>
  <c r="AG46" i="11"/>
  <c r="BF155" i="23"/>
  <c r="AH46" i="11"/>
  <c r="CU12" i="23"/>
  <c r="AI45" i="23"/>
  <c r="AI44" i="23" s="1"/>
  <c r="BG145" i="23"/>
  <c r="AG45" i="23"/>
  <c r="BH152" i="23" s="1"/>
  <c r="AG94" i="11"/>
  <c r="AG83" i="11"/>
  <c r="Q56" i="11"/>
  <c r="Q62" i="11"/>
  <c r="Q64" i="11"/>
  <c r="Q55" i="11"/>
  <c r="Q58" i="11"/>
  <c r="Q70" i="11"/>
  <c r="Q74" i="11"/>
  <c r="Q78" i="11"/>
  <c r="Q82" i="11"/>
  <c r="Q86" i="11"/>
  <c r="Q59" i="11"/>
  <c r="Q71" i="11"/>
  <c r="Q75" i="11"/>
  <c r="Q79" i="11"/>
  <c r="Q83" i="11"/>
  <c r="Q87" i="11"/>
  <c r="Q60" i="11"/>
  <c r="Q61" i="11"/>
  <c r="Q69" i="11"/>
  <c r="Q77" i="11"/>
  <c r="Q85" i="11"/>
  <c r="Q50" i="11"/>
  <c r="Q63" i="11"/>
  <c r="Q65" i="11"/>
  <c r="Q72" i="11"/>
  <c r="Q80" i="11"/>
  <c r="Q57" i="11"/>
  <c r="Q73" i="11"/>
  <c r="Q81" i="11"/>
  <c r="Q46" i="11"/>
  <c r="Q76" i="11"/>
  <c r="Q49" i="11"/>
  <c r="Q48" i="11" s="1"/>
  <c r="CE12" i="23"/>
  <c r="Q84" i="11"/>
  <c r="Q67" i="11"/>
  <c r="E23" i="23"/>
  <c r="AG26" i="23"/>
  <c r="AX99" i="23" s="1"/>
  <c r="Q94" i="11"/>
  <c r="AN26" i="23"/>
  <c r="AY96" i="23" s="1"/>
  <c r="AN24" i="23"/>
  <c r="Q66" i="11"/>
  <c r="AJ55" i="11"/>
  <c r="AJ59" i="11"/>
  <c r="AJ57" i="11"/>
  <c r="AJ60" i="11"/>
  <c r="AJ56" i="11"/>
  <c r="AJ58" i="11"/>
  <c r="AJ61" i="11"/>
  <c r="AJ63" i="11"/>
  <c r="AJ65" i="11"/>
  <c r="AJ67" i="11"/>
  <c r="AJ69" i="11"/>
  <c r="AJ71" i="11"/>
  <c r="AJ73" i="11"/>
  <c r="AJ75" i="11"/>
  <c r="AJ77" i="11"/>
  <c r="AJ79" i="11"/>
  <c r="AJ81" i="11"/>
  <c r="AJ85" i="11"/>
  <c r="AJ62" i="11"/>
  <c r="AJ66" i="11"/>
  <c r="AJ64" i="11"/>
  <c r="AJ72" i="11"/>
  <c r="AJ76" i="11"/>
  <c r="AJ68" i="11"/>
  <c r="AJ70" i="11"/>
  <c r="AJ74" i="11"/>
  <c r="K47" i="23"/>
  <c r="AJ82" i="11"/>
  <c r="AJ86" i="11"/>
  <c r="AJ46" i="11"/>
  <c r="AJ78" i="11"/>
  <c r="AJ80" i="11"/>
  <c r="AJ50" i="11"/>
  <c r="AJ49" i="11"/>
  <c r="AJ48" i="11" s="1"/>
  <c r="CX12" i="23"/>
  <c r="AG48" i="23"/>
  <c r="BJ151" i="23" s="1"/>
  <c r="BJ144" i="23"/>
  <c r="AK48" i="23"/>
  <c r="AK44" i="23" s="1"/>
  <c r="AJ83" i="11"/>
  <c r="AL48" i="23"/>
  <c r="AL45" i="23" s="1"/>
  <c r="BH147" i="23" s="1"/>
  <c r="AJ94" i="11"/>
  <c r="AJ84" i="11"/>
  <c r="AB55" i="11"/>
  <c r="AB59" i="11"/>
  <c r="AB61" i="11"/>
  <c r="AB57" i="11"/>
  <c r="AB60" i="11"/>
  <c r="AB56" i="11"/>
  <c r="AB58" i="11"/>
  <c r="AB63" i="11"/>
  <c r="AB65" i="11"/>
  <c r="AB67" i="11"/>
  <c r="AB69" i="11"/>
  <c r="AB71" i="11"/>
  <c r="AB73" i="11"/>
  <c r="AB75" i="11"/>
  <c r="AB77" i="11"/>
  <c r="AB83" i="11"/>
  <c r="AB87" i="11"/>
  <c r="AB64" i="11"/>
  <c r="AB72" i="11"/>
  <c r="AB76" i="11"/>
  <c r="AB82" i="11"/>
  <c r="AB70" i="11"/>
  <c r="AB74" i="11"/>
  <c r="AB84" i="11"/>
  <c r="AB80" i="11"/>
  <c r="AB85" i="11"/>
  <c r="AD40" i="23"/>
  <c r="AB62" i="11"/>
  <c r="AB66" i="11"/>
  <c r="AE39" i="23"/>
  <c r="AY147" i="23" s="1"/>
  <c r="I27" i="23"/>
  <c r="AB50" i="11"/>
  <c r="AB49" i="11"/>
  <c r="AB81" i="11"/>
  <c r="AB68" i="11"/>
  <c r="AB86" i="11"/>
  <c r="AB46" i="11"/>
  <c r="AC46" i="11"/>
  <c r="CP12" i="23"/>
  <c r="AZ155" i="23"/>
  <c r="BA145" i="23"/>
  <c r="AG39" i="23"/>
  <c r="BB152" i="23" s="1"/>
  <c r="AI39" i="23"/>
  <c r="AI38" i="23" s="1"/>
  <c r="AB78" i="11"/>
  <c r="AB94" i="11"/>
  <c r="T55" i="11"/>
  <c r="T59" i="11"/>
  <c r="T61" i="11"/>
  <c r="T57" i="11"/>
  <c r="T60" i="11"/>
  <c r="T56" i="11"/>
  <c r="T58" i="11"/>
  <c r="T63" i="11"/>
  <c r="T67" i="11"/>
  <c r="T69" i="11"/>
  <c r="T75" i="11"/>
  <c r="T79" i="11"/>
  <c r="T83" i="11"/>
  <c r="T87" i="11"/>
  <c r="T74" i="11"/>
  <c r="T80" i="11"/>
  <c r="T85" i="11"/>
  <c r="T62" i="11"/>
  <c r="T76" i="11"/>
  <c r="T81" i="11"/>
  <c r="T86" i="11"/>
  <c r="T50" i="11"/>
  <c r="T72" i="11"/>
  <c r="T77" i="11"/>
  <c r="T82" i="11"/>
  <c r="T78" i="11"/>
  <c r="T49" i="11"/>
  <c r="T70" i="11"/>
  <c r="T84" i="11"/>
  <c r="T68" i="11"/>
  <c r="T73" i="11"/>
  <c r="T46" i="11"/>
  <c r="CH12" i="23"/>
  <c r="E43" i="23"/>
  <c r="AG29" i="23"/>
  <c r="BH91" i="23" s="1"/>
  <c r="AK29" i="23"/>
  <c r="BH84" i="23" s="1"/>
  <c r="T94" i="11"/>
  <c r="T65" i="11"/>
  <c r="AL29" i="23"/>
  <c r="T64" i="11"/>
  <c r="T66" i="11"/>
  <c r="L59" i="11"/>
  <c r="L61" i="11"/>
  <c r="L60" i="11"/>
  <c r="L65" i="11"/>
  <c r="L69" i="11"/>
  <c r="L73" i="11"/>
  <c r="L77" i="11"/>
  <c r="L81" i="11"/>
  <c r="L85" i="11"/>
  <c r="L66" i="11"/>
  <c r="L70" i="11"/>
  <c r="L74" i="11"/>
  <c r="L78" i="11"/>
  <c r="L82" i="11"/>
  <c r="L86" i="11"/>
  <c r="L67" i="11"/>
  <c r="L71" i="11"/>
  <c r="L75" i="11"/>
  <c r="L79" i="11"/>
  <c r="L83" i="11"/>
  <c r="L87" i="11"/>
  <c r="L72" i="11"/>
  <c r="L50" i="11"/>
  <c r="L58" i="11"/>
  <c r="L76" i="11"/>
  <c r="L64" i="11"/>
  <c r="L80" i="11"/>
  <c r="L62" i="11"/>
  <c r="L46" i="11"/>
  <c r="BZ12" i="23"/>
  <c r="L68" i="11"/>
  <c r="L49" i="11"/>
  <c r="L84" i="11"/>
  <c r="C47" i="23"/>
  <c r="AG20" i="23"/>
  <c r="BH27" i="23" s="1"/>
  <c r="AK20" i="23"/>
  <c r="BF20" i="23" s="1"/>
  <c r="L94" i="11"/>
  <c r="L56" i="11"/>
  <c r="L55" i="11"/>
  <c r="AL20" i="23"/>
  <c r="L57" i="11"/>
  <c r="AA59" i="11"/>
  <c r="AA57" i="11"/>
  <c r="AA58" i="11"/>
  <c r="AA60" i="11"/>
  <c r="AA56" i="11"/>
  <c r="AA63" i="11"/>
  <c r="AA65" i="11"/>
  <c r="AA67" i="11"/>
  <c r="AA69" i="11"/>
  <c r="AA62" i="11"/>
  <c r="AA64" i="11"/>
  <c r="AA66" i="11"/>
  <c r="AA68" i="11"/>
  <c r="AA70" i="11"/>
  <c r="AA72" i="11"/>
  <c r="AA74" i="11"/>
  <c r="AA76" i="11"/>
  <c r="AA81" i="11"/>
  <c r="AA85" i="11"/>
  <c r="AA84" i="11"/>
  <c r="AA75" i="11"/>
  <c r="AA77" i="11"/>
  <c r="AA80" i="11"/>
  <c r="AA86" i="11"/>
  <c r="AA55" i="11"/>
  <c r="AA61" i="11"/>
  <c r="AA87" i="11"/>
  <c r="I11" i="23"/>
  <c r="AA71" i="11"/>
  <c r="AA73" i="11"/>
  <c r="AE38" i="23"/>
  <c r="AY136" i="23" s="1"/>
  <c r="AA46" i="11"/>
  <c r="AF38" i="23"/>
  <c r="BA136" i="23" s="1"/>
  <c r="AA50" i="11"/>
  <c r="AA83" i="11"/>
  <c r="AA49" i="11"/>
  <c r="AA48" i="11" s="1"/>
  <c r="CO12" i="23"/>
  <c r="AG38" i="23"/>
  <c r="BA141" i="23" s="1"/>
  <c r="AA94" i="11"/>
  <c r="AH39" i="23"/>
  <c r="AJ42" i="23"/>
  <c r="AA79" i="11"/>
  <c r="AA82" i="11"/>
  <c r="K59" i="11"/>
  <c r="K60" i="11"/>
  <c r="K63" i="11"/>
  <c r="K67" i="11"/>
  <c r="K71" i="11"/>
  <c r="K75" i="11"/>
  <c r="K79" i="11"/>
  <c r="K83" i="11"/>
  <c r="K87" i="11"/>
  <c r="K64" i="11"/>
  <c r="K68" i="11"/>
  <c r="K72" i="11"/>
  <c r="K76" i="11"/>
  <c r="K80" i="11"/>
  <c r="K84" i="11"/>
  <c r="K58" i="11"/>
  <c r="K65" i="11"/>
  <c r="K69" i="11"/>
  <c r="K73" i="11"/>
  <c r="K77" i="11"/>
  <c r="K81" i="11"/>
  <c r="K85" i="11"/>
  <c r="K74" i="11"/>
  <c r="K78" i="11"/>
  <c r="K66" i="11"/>
  <c r="K82" i="11"/>
  <c r="K49" i="11"/>
  <c r="K61" i="11"/>
  <c r="K50" i="11"/>
  <c r="C43" i="23"/>
  <c r="K46" i="11"/>
  <c r="K70" i="11"/>
  <c r="K86" i="11"/>
  <c r="BY12" i="23"/>
  <c r="AG19" i="23"/>
  <c r="BF27" i="23" s="1"/>
  <c r="AK19" i="23"/>
  <c r="BH20" i="23" s="1"/>
  <c r="K56" i="11"/>
  <c r="K55" i="11"/>
  <c r="K94" i="11"/>
  <c r="AL19" i="23"/>
  <c r="K57" i="11"/>
  <c r="AC56" i="11"/>
  <c r="AC59" i="11"/>
  <c r="AC61" i="11"/>
  <c r="AC62" i="11"/>
  <c r="AC64" i="11"/>
  <c r="AC66" i="11"/>
  <c r="AC55" i="11"/>
  <c r="AC57" i="11"/>
  <c r="AC60" i="11"/>
  <c r="AC83" i="11"/>
  <c r="AC87" i="11"/>
  <c r="AC63" i="11"/>
  <c r="AC65" i="11"/>
  <c r="AC68" i="11"/>
  <c r="AC71" i="11"/>
  <c r="AC73" i="11"/>
  <c r="AC79" i="11"/>
  <c r="AC82" i="11"/>
  <c r="AC72" i="11"/>
  <c r="AC76" i="11"/>
  <c r="AC84" i="11"/>
  <c r="AC67" i="11"/>
  <c r="AC70" i="11"/>
  <c r="AC74" i="11"/>
  <c r="AC75" i="11"/>
  <c r="AC77" i="11"/>
  <c r="AC78" i="11"/>
  <c r="AC58" i="11"/>
  <c r="AC69" i="11"/>
  <c r="AC85" i="11"/>
  <c r="AC86" i="11"/>
  <c r="AC49" i="11"/>
  <c r="AC48" i="11" s="1"/>
  <c r="AZ153" i="23"/>
  <c r="AE40" i="23"/>
  <c r="AY157" i="23" s="1"/>
  <c r="I31" i="23"/>
  <c r="AC50" i="11"/>
  <c r="AG40" i="23"/>
  <c r="BB158" i="23" s="1"/>
  <c r="AC94" i="11"/>
  <c r="AM40" i="23"/>
  <c r="AM41" i="23"/>
  <c r="AC81" i="11"/>
  <c r="M56" i="11"/>
  <c r="M58" i="11"/>
  <c r="M59" i="11"/>
  <c r="M61" i="11"/>
  <c r="M62" i="11"/>
  <c r="M69" i="11"/>
  <c r="M73" i="11"/>
  <c r="M77" i="11"/>
  <c r="M81" i="11"/>
  <c r="M85" i="11"/>
  <c r="M55" i="11"/>
  <c r="M57" i="11"/>
  <c r="M60" i="11"/>
  <c r="M74" i="11"/>
  <c r="M78" i="11"/>
  <c r="M82" i="11"/>
  <c r="M86" i="11"/>
  <c r="M75" i="11"/>
  <c r="M79" i="11"/>
  <c r="M83" i="11"/>
  <c r="M87" i="11"/>
  <c r="M63" i="11"/>
  <c r="AD12" i="23"/>
  <c r="M76" i="11"/>
  <c r="M80" i="11"/>
  <c r="M68" i="11"/>
  <c r="E11" i="23"/>
  <c r="M49" i="11"/>
  <c r="M48" i="11" s="1"/>
  <c r="CA12" i="23"/>
  <c r="M84" i="11"/>
  <c r="M46" i="11"/>
  <c r="AE22" i="23"/>
  <c r="AU74" i="23" s="1"/>
  <c r="M50" i="11"/>
  <c r="AF22" i="23"/>
  <c r="AZ72" i="23" s="1"/>
  <c r="AD32" i="23"/>
  <c r="AG22" i="23"/>
  <c r="AX72" i="23" s="1"/>
  <c r="M94" i="11"/>
  <c r="AH25" i="23"/>
  <c r="AU87" i="23" s="1"/>
  <c r="AH24" i="23"/>
  <c r="AX87" i="23" s="1"/>
  <c r="AJ28" i="23"/>
  <c r="AJ30" i="23"/>
  <c r="AJ29" i="23"/>
  <c r="AH23" i="23"/>
  <c r="M71" i="11"/>
  <c r="M66" i="11"/>
  <c r="M67" i="11"/>
  <c r="M72" i="11"/>
  <c r="M65" i="11"/>
  <c r="M70" i="11"/>
  <c r="AH57" i="11"/>
  <c r="AH58" i="11"/>
  <c r="AH60" i="11"/>
  <c r="AH55" i="11"/>
  <c r="AH56" i="11"/>
  <c r="AH61" i="11"/>
  <c r="AH63" i="11"/>
  <c r="AH65" i="11"/>
  <c r="AH67" i="11"/>
  <c r="AH62" i="11"/>
  <c r="AH64" i="11"/>
  <c r="AH66" i="11"/>
  <c r="AH68" i="11"/>
  <c r="AH71" i="11"/>
  <c r="AH73" i="11"/>
  <c r="AH79" i="11"/>
  <c r="AH81" i="11"/>
  <c r="AH72" i="11"/>
  <c r="AH76" i="11"/>
  <c r="AH80" i="11"/>
  <c r="AH84" i="11"/>
  <c r="AH87" i="11"/>
  <c r="AH69" i="11"/>
  <c r="AH70" i="11"/>
  <c r="AH74" i="11"/>
  <c r="AH75" i="11"/>
  <c r="AH77" i="11"/>
  <c r="AH78" i="11"/>
  <c r="AH82" i="11"/>
  <c r="AH83" i="11"/>
  <c r="AE46" i="23"/>
  <c r="BE157" i="23" s="1"/>
  <c r="AH50" i="11"/>
  <c r="AH49" i="11"/>
  <c r="AH59" i="11"/>
  <c r="K31" i="23"/>
  <c r="BF153" i="23"/>
  <c r="AM47" i="23"/>
  <c r="AM46" i="23"/>
  <c r="AG46" i="23"/>
  <c r="BH158" i="23" s="1"/>
  <c r="AH86" i="11"/>
  <c r="AH94" i="11"/>
  <c r="Z57" i="11"/>
  <c r="Z58" i="11"/>
  <c r="Z60" i="11"/>
  <c r="Z55" i="11"/>
  <c r="Z56" i="11"/>
  <c r="Z63" i="11"/>
  <c r="Z65" i="11"/>
  <c r="Z67" i="11"/>
  <c r="Z62" i="11"/>
  <c r="Z64" i="11"/>
  <c r="Z66" i="11"/>
  <c r="Z68" i="11"/>
  <c r="Z61" i="11"/>
  <c r="Z81" i="11"/>
  <c r="Z85" i="11"/>
  <c r="Z70" i="11"/>
  <c r="Z75" i="11"/>
  <c r="Z78" i="11"/>
  <c r="Z83" i="11"/>
  <c r="Z79" i="11"/>
  <c r="Z84" i="11"/>
  <c r="Z59" i="11"/>
  <c r="Z69" i="11"/>
  <c r="Z71" i="11"/>
  <c r="Z80" i="11"/>
  <c r="Z86" i="11"/>
  <c r="Z76" i="11"/>
  <c r="Z87" i="11"/>
  <c r="Z49" i="11"/>
  <c r="Z48" i="11" s="1"/>
  <c r="Z46" i="11"/>
  <c r="G47" i="23"/>
  <c r="Z82" i="11"/>
  <c r="Z72" i="11"/>
  <c r="Z50" i="11"/>
  <c r="CN12" i="23"/>
  <c r="AG36" i="23"/>
  <c r="AX151" i="23" s="1"/>
  <c r="AK36" i="23"/>
  <c r="AK32" i="23" s="1"/>
  <c r="AX144" i="23"/>
  <c r="Z73" i="11"/>
  <c r="AL36" i="23"/>
  <c r="AL33" i="23" s="1"/>
  <c r="AV147" i="23" s="1"/>
  <c r="Z94" i="11"/>
  <c r="Z74" i="11"/>
  <c r="R57" i="11"/>
  <c r="R58" i="11"/>
  <c r="R60" i="11"/>
  <c r="R55" i="11"/>
  <c r="R56" i="11"/>
  <c r="R61" i="11"/>
  <c r="R63" i="11"/>
  <c r="R65" i="11"/>
  <c r="R62" i="11"/>
  <c r="R64" i="11"/>
  <c r="R66" i="11"/>
  <c r="R68" i="11"/>
  <c r="R73" i="11"/>
  <c r="R77" i="11"/>
  <c r="R81" i="11"/>
  <c r="R85" i="11"/>
  <c r="R70" i="11"/>
  <c r="R75" i="11"/>
  <c r="R80" i="11"/>
  <c r="R86" i="11"/>
  <c r="R59" i="11"/>
  <c r="R71" i="11"/>
  <c r="R76" i="11"/>
  <c r="R82" i="11"/>
  <c r="R87" i="11"/>
  <c r="R72" i="11"/>
  <c r="R78" i="11"/>
  <c r="R83" i="11"/>
  <c r="R84" i="11"/>
  <c r="R50" i="11"/>
  <c r="E35" i="23"/>
  <c r="R46" i="11"/>
  <c r="R74" i="11"/>
  <c r="R79" i="11"/>
  <c r="R49" i="11"/>
  <c r="CF12" i="23"/>
  <c r="AG27" i="23"/>
  <c r="AU108" i="23" s="1"/>
  <c r="R94" i="11"/>
  <c r="AN25" i="23"/>
  <c r="AN27" i="23"/>
  <c r="AU104" i="23" s="1"/>
  <c r="R67" i="11"/>
  <c r="J60" i="11"/>
  <c r="J58" i="11"/>
  <c r="J63" i="11"/>
  <c r="J67" i="11"/>
  <c r="J71" i="11"/>
  <c r="J75" i="11"/>
  <c r="J79" i="11"/>
  <c r="J83" i="11"/>
  <c r="J87" i="11"/>
  <c r="J64" i="11"/>
  <c r="J68" i="11"/>
  <c r="J72" i="11"/>
  <c r="J76" i="11"/>
  <c r="J80" i="11"/>
  <c r="J84" i="11"/>
  <c r="J65" i="11"/>
  <c r="J69" i="11"/>
  <c r="J73" i="11"/>
  <c r="J77" i="11"/>
  <c r="J81" i="11"/>
  <c r="J85" i="11"/>
  <c r="J59" i="11"/>
  <c r="J62" i="11"/>
  <c r="J78" i="11"/>
  <c r="J66" i="11"/>
  <c r="J82" i="11"/>
  <c r="J70" i="11"/>
  <c r="J86" i="11"/>
  <c r="C39" i="23"/>
  <c r="J49" i="11"/>
  <c r="J48" i="11" s="1"/>
  <c r="J50" i="11"/>
  <c r="J46" i="11"/>
  <c r="BX12" i="23"/>
  <c r="J74" i="11"/>
  <c r="AG18" i="23"/>
  <c r="BD27" i="23" s="1"/>
  <c r="AK18" i="23"/>
  <c r="AL18" i="23"/>
  <c r="J55" i="11"/>
  <c r="J56" i="11"/>
  <c r="J94" i="11"/>
  <c r="J57" i="11"/>
  <c r="W59" i="11"/>
  <c r="W57" i="11"/>
  <c r="W58" i="11"/>
  <c r="W60" i="11"/>
  <c r="W61" i="11"/>
  <c r="W63" i="11"/>
  <c r="W65" i="11"/>
  <c r="W67" i="11"/>
  <c r="W69" i="11"/>
  <c r="W56" i="11"/>
  <c r="W62" i="11"/>
  <c r="W64" i="11"/>
  <c r="W66" i="11"/>
  <c r="W68" i="11"/>
  <c r="W70" i="11"/>
  <c r="W72" i="11"/>
  <c r="W77" i="11"/>
  <c r="W81" i="11"/>
  <c r="W85" i="11"/>
  <c r="W71" i="11"/>
  <c r="W75" i="11"/>
  <c r="W80" i="11"/>
  <c r="W86" i="11"/>
  <c r="W55" i="11"/>
  <c r="W76" i="11"/>
  <c r="W82" i="11"/>
  <c r="W87" i="11"/>
  <c r="AD25" i="23"/>
  <c r="W78" i="11"/>
  <c r="W83" i="11"/>
  <c r="AD45" i="23"/>
  <c r="W50" i="11"/>
  <c r="AT155" i="23"/>
  <c r="W79" i="11"/>
  <c r="W84" i="11"/>
  <c r="AD34" i="23"/>
  <c r="AD39" i="23"/>
  <c r="G27" i="23"/>
  <c r="W49" i="11"/>
  <c r="AE33" i="23"/>
  <c r="AS147" i="23" s="1"/>
  <c r="W46" i="11"/>
  <c r="CK12" i="23"/>
  <c r="X46" i="11"/>
  <c r="AG33" i="23"/>
  <c r="AV152" i="23" s="1"/>
  <c r="AI33" i="23"/>
  <c r="AI32" i="23" s="1"/>
  <c r="AU145" i="23"/>
  <c r="W94" i="11"/>
  <c r="W73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2" i="11"/>
  <c r="G70" i="11"/>
  <c r="G78" i="11"/>
  <c r="G86" i="11"/>
  <c r="G63" i="11"/>
  <c r="G71" i="11"/>
  <c r="G79" i="11"/>
  <c r="G87" i="11"/>
  <c r="G56" i="11"/>
  <c r="G66" i="11"/>
  <c r="G74" i="11"/>
  <c r="G82" i="11"/>
  <c r="G59" i="11"/>
  <c r="G67" i="11"/>
  <c r="AE15" i="23"/>
  <c r="AS26" i="23" s="1"/>
  <c r="G75" i="11"/>
  <c r="G50" i="11"/>
  <c r="G46" i="11"/>
  <c r="G83" i="11"/>
  <c r="G49" i="11"/>
  <c r="G48" i="11" s="1"/>
  <c r="BU12" i="23"/>
  <c r="C27" i="23"/>
  <c r="AI15" i="23"/>
  <c r="AU21" i="23" s="1"/>
  <c r="AG15" i="23"/>
  <c r="AU33" i="23" s="1"/>
  <c r="AM15" i="23"/>
  <c r="AM17" i="23"/>
  <c r="G55" i="11"/>
  <c r="G94" i="11"/>
  <c r="G60" i="11"/>
  <c r="Y56" i="11"/>
  <c r="Y62" i="11"/>
  <c r="Y64" i="11"/>
  <c r="Y66" i="11"/>
  <c r="Y55" i="11"/>
  <c r="Y58" i="11"/>
  <c r="Y61" i="11"/>
  <c r="Y59" i="11"/>
  <c r="Y79" i="11"/>
  <c r="Y83" i="11"/>
  <c r="Y87" i="11"/>
  <c r="Y78" i="11"/>
  <c r="Y84" i="11"/>
  <c r="Y60" i="11"/>
  <c r="Y67" i="11"/>
  <c r="Y69" i="11"/>
  <c r="Y71" i="11"/>
  <c r="Y73" i="11"/>
  <c r="Y80" i="11"/>
  <c r="Y85" i="11"/>
  <c r="Y68" i="11"/>
  <c r="Y72" i="11"/>
  <c r="Y81" i="11"/>
  <c r="Y86" i="11"/>
  <c r="Y63" i="11"/>
  <c r="Y49" i="11"/>
  <c r="Y50" i="11"/>
  <c r="G35" i="23"/>
  <c r="Y57" i="11"/>
  <c r="Y65" i="11"/>
  <c r="Y70" i="11"/>
  <c r="Y74" i="11"/>
  <c r="Y77" i="11"/>
  <c r="Y82" i="11"/>
  <c r="Y46" i="11"/>
  <c r="CM12" i="23"/>
  <c r="AG35" i="23"/>
  <c r="AU164" i="23" s="1"/>
  <c r="Y94" i="11"/>
  <c r="AT159" i="23"/>
  <c r="AN34" i="23"/>
  <c r="AN35" i="23"/>
  <c r="Y75" i="11"/>
  <c r="I56" i="11"/>
  <c r="I62" i="11"/>
  <c r="I66" i="11"/>
  <c r="I70" i="11"/>
  <c r="I74" i="11"/>
  <c r="I63" i="11"/>
  <c r="I67" i="11"/>
  <c r="I71" i="11"/>
  <c r="I75" i="11"/>
  <c r="I79" i="11"/>
  <c r="I83" i="11"/>
  <c r="I87" i="11"/>
  <c r="I68" i="11"/>
  <c r="I76" i="11"/>
  <c r="I81" i="11"/>
  <c r="I86" i="11"/>
  <c r="I55" i="11"/>
  <c r="I61" i="11"/>
  <c r="I69" i="11"/>
  <c r="I77" i="11"/>
  <c r="I82" i="11"/>
  <c r="I59" i="11"/>
  <c r="I64" i="11"/>
  <c r="I72" i="11"/>
  <c r="I78" i="11"/>
  <c r="I84" i="11"/>
  <c r="I73" i="11"/>
  <c r="I50" i="11"/>
  <c r="I57" i="11"/>
  <c r="I80" i="11"/>
  <c r="I85" i="11"/>
  <c r="I65" i="11"/>
  <c r="C35" i="23"/>
  <c r="I49" i="11"/>
  <c r="I48" i="11" s="1"/>
  <c r="I46" i="11"/>
  <c r="BW12" i="23"/>
  <c r="AG17" i="23"/>
  <c r="AU44" i="23" s="1"/>
  <c r="I94" i="11"/>
  <c r="AN17" i="23"/>
  <c r="AU40" i="23" s="1"/>
  <c r="AN15" i="23"/>
  <c r="I58" i="11"/>
  <c r="AF55" i="11"/>
  <c r="AF59" i="11"/>
  <c r="AF61" i="11"/>
  <c r="AF58" i="11"/>
  <c r="AF57" i="11"/>
  <c r="AF60" i="11"/>
  <c r="AF63" i="11"/>
  <c r="AF65" i="11"/>
  <c r="AF67" i="11"/>
  <c r="AF69" i="11"/>
  <c r="AF71" i="11"/>
  <c r="AF73" i="11"/>
  <c r="AF75" i="11"/>
  <c r="AF77" i="11"/>
  <c r="AF79" i="11"/>
  <c r="AF81" i="11"/>
  <c r="AF56" i="11"/>
  <c r="AF62" i="11"/>
  <c r="AF66" i="11"/>
  <c r="AF70" i="11"/>
  <c r="AF74" i="11"/>
  <c r="AF78" i="11"/>
  <c r="AF82" i="11"/>
  <c r="AF64" i="11"/>
  <c r="AF68" i="11"/>
  <c r="AF85" i="11"/>
  <c r="AF72" i="11"/>
  <c r="AF44" i="23"/>
  <c r="BG136" i="23" s="1"/>
  <c r="K11" i="23"/>
  <c r="AF50" i="11"/>
  <c r="AF76" i="11"/>
  <c r="AF80" i="11"/>
  <c r="AF46" i="11"/>
  <c r="AF86" i="11"/>
  <c r="AE44" i="23"/>
  <c r="BE136" i="23" s="1"/>
  <c r="AF49" i="11"/>
  <c r="AF48" i="11" s="1"/>
  <c r="CT12" i="23"/>
  <c r="AG44" i="23"/>
  <c r="BG141" i="23" s="1"/>
  <c r="AF94" i="11"/>
  <c r="AH45" i="23"/>
  <c r="AJ48" i="23"/>
  <c r="AF84" i="11"/>
  <c r="AF87" i="11"/>
  <c r="X55" i="11"/>
  <c r="X59" i="11"/>
  <c r="X61" i="11"/>
  <c r="X58" i="11"/>
  <c r="X57" i="11"/>
  <c r="X60" i="11"/>
  <c r="X63" i="11"/>
  <c r="X65" i="11"/>
  <c r="X67" i="11"/>
  <c r="X69" i="11"/>
  <c r="X71" i="11"/>
  <c r="X73" i="11"/>
  <c r="X79" i="11"/>
  <c r="X83" i="11"/>
  <c r="X87" i="11"/>
  <c r="X81" i="11"/>
  <c r="X86" i="11"/>
  <c r="X68" i="11"/>
  <c r="X72" i="11"/>
  <c r="X77" i="11"/>
  <c r="X82" i="11"/>
  <c r="X62" i="11"/>
  <c r="X66" i="11"/>
  <c r="X70" i="11"/>
  <c r="X74" i="11"/>
  <c r="X78" i="11"/>
  <c r="X84" i="11"/>
  <c r="X56" i="11"/>
  <c r="AE34" i="23"/>
  <c r="AS157" i="23" s="1"/>
  <c r="G31" i="23"/>
  <c r="X50" i="11"/>
  <c r="X49" i="11"/>
  <c r="AT153" i="23"/>
  <c r="X80" i="11"/>
  <c r="X64" i="11"/>
  <c r="X85" i="11"/>
  <c r="AM35" i="23"/>
  <c r="AM34" i="23"/>
  <c r="AG34" i="23"/>
  <c r="AV158" i="23" s="1"/>
  <c r="X76" i="11"/>
  <c r="X94" i="11"/>
  <c r="P55" i="11"/>
  <c r="P59" i="11"/>
  <c r="P61" i="11"/>
  <c r="P58" i="11"/>
  <c r="P73" i="11"/>
  <c r="P77" i="11"/>
  <c r="P81" i="11"/>
  <c r="P85" i="11"/>
  <c r="P70" i="11"/>
  <c r="P74" i="11"/>
  <c r="P78" i="11"/>
  <c r="P82" i="11"/>
  <c r="P86" i="11"/>
  <c r="P57" i="11"/>
  <c r="P60" i="11"/>
  <c r="P63" i="11"/>
  <c r="P65" i="11"/>
  <c r="P71" i="11"/>
  <c r="P75" i="11"/>
  <c r="P79" i="11"/>
  <c r="P83" i="11"/>
  <c r="P87" i="11"/>
  <c r="P62" i="11"/>
  <c r="P66" i="11"/>
  <c r="P68" i="11"/>
  <c r="P84" i="11"/>
  <c r="P72" i="11"/>
  <c r="P56" i="11"/>
  <c r="P76" i="11"/>
  <c r="AD33" i="23"/>
  <c r="E27" i="23"/>
  <c r="P49" i="11"/>
  <c r="P48" i="11" s="1"/>
  <c r="P80" i="11"/>
  <c r="CD12" i="23"/>
  <c r="P50" i="11"/>
  <c r="AE25" i="23"/>
  <c r="AS90" i="23" s="1"/>
  <c r="P46" i="11"/>
  <c r="AG25" i="23"/>
  <c r="AU97" i="23" s="1"/>
  <c r="AI25" i="23"/>
  <c r="AU85" i="23" s="1"/>
  <c r="AM25" i="23"/>
  <c r="AM27" i="23"/>
  <c r="P94" i="11"/>
  <c r="P69" i="11"/>
  <c r="P64" i="11"/>
  <c r="H62" i="11"/>
  <c r="H66" i="11"/>
  <c r="H70" i="11"/>
  <c r="H74" i="11"/>
  <c r="H78" i="11"/>
  <c r="H82" i="11"/>
  <c r="H86" i="11"/>
  <c r="H55" i="11"/>
  <c r="H63" i="11"/>
  <c r="H67" i="11"/>
  <c r="H71" i="11"/>
  <c r="H75" i="11"/>
  <c r="H79" i="11"/>
  <c r="H83" i="11"/>
  <c r="H87" i="11"/>
  <c r="H60" i="11"/>
  <c r="H68" i="11"/>
  <c r="H76" i="11"/>
  <c r="H84" i="11"/>
  <c r="H58" i="11"/>
  <c r="H61" i="11"/>
  <c r="H69" i="11"/>
  <c r="H77" i="11"/>
  <c r="H85" i="11"/>
  <c r="H64" i="11"/>
  <c r="H72" i="11"/>
  <c r="H80" i="11"/>
  <c r="H65" i="11"/>
  <c r="H56" i="11"/>
  <c r="H73" i="11"/>
  <c r="H81" i="11"/>
  <c r="H50" i="11"/>
  <c r="C23" i="23"/>
  <c r="H46" i="11"/>
  <c r="BV12" i="23"/>
  <c r="H49" i="11"/>
  <c r="AG16" i="23"/>
  <c r="AX35" i="23" s="1"/>
  <c r="H94" i="11"/>
  <c r="AN14" i="23"/>
  <c r="AN16" i="23"/>
  <c r="AY32" i="23" s="1"/>
  <c r="H57" i="11"/>
  <c r="AI59" i="11"/>
  <c r="AI57" i="11"/>
  <c r="AI58" i="11"/>
  <c r="AI60" i="11"/>
  <c r="AI56" i="11"/>
  <c r="AI61" i="11"/>
  <c r="AI63" i="11"/>
  <c r="AI65" i="11"/>
  <c r="AI67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55" i="11"/>
  <c r="AI87" i="11"/>
  <c r="AI71" i="11"/>
  <c r="AI73" i="11"/>
  <c r="AI79" i="11"/>
  <c r="AI81" i="11"/>
  <c r="AI46" i="11"/>
  <c r="CW12" i="23"/>
  <c r="AI69" i="11"/>
  <c r="AI75" i="11"/>
  <c r="AI83" i="11"/>
  <c r="AI50" i="11"/>
  <c r="AI77" i="11"/>
  <c r="K35" i="23"/>
  <c r="AI49" i="11"/>
  <c r="AI48" i="11" s="1"/>
  <c r="AG47" i="23"/>
  <c r="BG164" i="23" s="1"/>
  <c r="AI94" i="11"/>
  <c r="AN47" i="23"/>
  <c r="BF159" i="23"/>
  <c r="AN46" i="23"/>
  <c r="AI85" i="11"/>
  <c r="S59" i="11"/>
  <c r="S57" i="11"/>
  <c r="S58" i="11"/>
  <c r="S60" i="11"/>
  <c r="S56" i="11"/>
  <c r="S61" i="11"/>
  <c r="S63" i="11"/>
  <c r="S67" i="11"/>
  <c r="S69" i="11"/>
  <c r="S62" i="11"/>
  <c r="S68" i="11"/>
  <c r="S73" i="11"/>
  <c r="S77" i="11"/>
  <c r="S81" i="11"/>
  <c r="S85" i="11"/>
  <c r="S55" i="11"/>
  <c r="S71" i="11"/>
  <c r="S76" i="11"/>
  <c r="S82" i="11"/>
  <c r="S87" i="11"/>
  <c r="S50" i="11"/>
  <c r="S72" i="11"/>
  <c r="S78" i="11"/>
  <c r="S83" i="11"/>
  <c r="S74" i="11"/>
  <c r="S79" i="11"/>
  <c r="S84" i="11"/>
  <c r="S75" i="11"/>
  <c r="S80" i="11"/>
  <c r="E39" i="23"/>
  <c r="S86" i="11"/>
  <c r="S49" i="11"/>
  <c r="S48" i="11" s="1"/>
  <c r="S46" i="11"/>
  <c r="CG12" i="23"/>
  <c r="AG28" i="23"/>
  <c r="BD91" i="23" s="1"/>
  <c r="AK28" i="23"/>
  <c r="S64" i="11"/>
  <c r="S65" i="11"/>
  <c r="AL28" i="23"/>
  <c r="S94" i="11"/>
  <c r="S66" i="11"/>
  <c r="D65" i="11"/>
  <c r="D69" i="11"/>
  <c r="D73" i="11"/>
  <c r="D77" i="11"/>
  <c r="D81" i="11"/>
  <c r="D85" i="11"/>
  <c r="D66" i="11"/>
  <c r="D70" i="11"/>
  <c r="D74" i="11"/>
  <c r="D78" i="11"/>
  <c r="D82" i="11"/>
  <c r="D86" i="11"/>
  <c r="D71" i="11"/>
  <c r="D79" i="11"/>
  <c r="D87" i="11"/>
  <c r="D64" i="11"/>
  <c r="D72" i="11"/>
  <c r="D80" i="11"/>
  <c r="D59" i="11"/>
  <c r="D67" i="11"/>
  <c r="D75" i="11"/>
  <c r="D83" i="11"/>
  <c r="D84" i="11"/>
  <c r="D60" i="11"/>
  <c r="AE12" i="23"/>
  <c r="AU10" i="23" s="1"/>
  <c r="AD22" i="23"/>
  <c r="D68" i="11"/>
  <c r="AF12" i="23"/>
  <c r="D50" i="11"/>
  <c r="C45" i="11"/>
  <c r="BR12" i="23"/>
  <c r="C11" i="23"/>
  <c r="D49" i="11"/>
  <c r="D46" i="11"/>
  <c r="D76" i="11"/>
  <c r="AG12" i="23"/>
  <c r="D94" i="11"/>
  <c r="AJ18" i="23"/>
  <c r="AJ19" i="23"/>
  <c r="AH15" i="23"/>
  <c r="AU23" i="23" s="1"/>
  <c r="AH13" i="23"/>
  <c r="AH14" i="23"/>
  <c r="AX23" i="23" s="1"/>
  <c r="AJ20" i="23"/>
  <c r="D63" i="11"/>
  <c r="D58" i="11"/>
  <c r="D56" i="11"/>
  <c r="D62" i="11"/>
  <c r="D61" i="11"/>
  <c r="D57" i="11"/>
  <c r="U56" i="11"/>
  <c r="U59" i="11"/>
  <c r="U62" i="11"/>
  <c r="U55" i="11"/>
  <c r="U57" i="11"/>
  <c r="U60" i="11"/>
  <c r="U61" i="11"/>
  <c r="U75" i="11"/>
  <c r="U79" i="11"/>
  <c r="U83" i="11"/>
  <c r="U87" i="11"/>
  <c r="U67" i="11"/>
  <c r="U68" i="11"/>
  <c r="U70" i="11"/>
  <c r="U74" i="11"/>
  <c r="U80" i="11"/>
  <c r="U85" i="11"/>
  <c r="U76" i="11"/>
  <c r="U81" i="11"/>
  <c r="U86" i="11"/>
  <c r="U58" i="11"/>
  <c r="U63" i="11"/>
  <c r="U71" i="11"/>
  <c r="U77" i="11"/>
  <c r="U82" i="11"/>
  <c r="U50" i="11"/>
  <c r="E47" i="23"/>
  <c r="U46" i="11"/>
  <c r="CI12" i="23"/>
  <c r="U73" i="11"/>
  <c r="U49" i="11"/>
  <c r="U48" i="11" s="1"/>
  <c r="U78" i="11"/>
  <c r="U69" i="11"/>
  <c r="U84" i="11"/>
  <c r="AG30" i="23"/>
  <c r="BF91" i="23" s="1"/>
  <c r="AK30" i="23"/>
  <c r="BF84" i="23" s="1"/>
  <c r="U64" i="11"/>
  <c r="AL30" i="23"/>
  <c r="U65" i="11"/>
  <c r="U94" i="11"/>
  <c r="U66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63" i="11"/>
  <c r="E71" i="11"/>
  <c r="E79" i="11"/>
  <c r="E87" i="11"/>
  <c r="E64" i="11"/>
  <c r="E72" i="11"/>
  <c r="E80" i="11"/>
  <c r="E59" i="11"/>
  <c r="E67" i="11"/>
  <c r="E75" i="11"/>
  <c r="E83" i="11"/>
  <c r="E84" i="11"/>
  <c r="AE13" i="23"/>
  <c r="AS24" i="23" s="1"/>
  <c r="E50" i="11"/>
  <c r="E60" i="11"/>
  <c r="E68" i="11"/>
  <c r="E49" i="11"/>
  <c r="E48" i="11" s="1"/>
  <c r="E76" i="11"/>
  <c r="C15" i="23"/>
  <c r="AG13" i="23"/>
  <c r="BA27" i="23" s="1"/>
  <c r="AI13" i="23"/>
  <c r="E94" i="11"/>
  <c r="E55" i="11"/>
  <c r="AD57" i="11"/>
  <c r="AD58" i="11"/>
  <c r="AD60" i="11"/>
  <c r="AD55" i="11"/>
  <c r="AD56" i="11"/>
  <c r="AD63" i="11"/>
  <c r="AD65" i="11"/>
  <c r="AD67" i="11"/>
  <c r="AD59" i="11"/>
  <c r="AD61" i="11"/>
  <c r="AD62" i="11"/>
  <c r="AD64" i="11"/>
  <c r="AD66" i="11"/>
  <c r="AD68" i="11"/>
  <c r="AD85" i="11"/>
  <c r="AD69" i="11"/>
  <c r="AD84" i="11"/>
  <c r="AD71" i="11"/>
  <c r="AD73" i="11"/>
  <c r="AD79" i="11"/>
  <c r="AD86" i="11"/>
  <c r="AD72" i="11"/>
  <c r="AD76" i="11"/>
  <c r="AD75" i="11"/>
  <c r="AD82" i="11"/>
  <c r="AD77" i="11"/>
  <c r="AD78" i="11"/>
  <c r="AD83" i="11"/>
  <c r="CR12" i="23"/>
  <c r="AD87" i="11"/>
  <c r="AD74" i="11"/>
  <c r="AD46" i="11"/>
  <c r="AD50" i="11"/>
  <c r="AD49" i="11"/>
  <c r="AD70" i="11"/>
  <c r="I35" i="23"/>
  <c r="AG41" i="23"/>
  <c r="BA164" i="23" s="1"/>
  <c r="AD94" i="11"/>
  <c r="AZ159" i="23"/>
  <c r="AN40" i="23"/>
  <c r="AN41" i="23"/>
  <c r="AD80" i="11"/>
  <c r="V57" i="11"/>
  <c r="V58" i="11"/>
  <c r="V60" i="11"/>
  <c r="V55" i="11"/>
  <c r="V56" i="11"/>
  <c r="V63" i="11"/>
  <c r="V65" i="11"/>
  <c r="V67" i="11"/>
  <c r="V59" i="11"/>
  <c r="V62" i="11"/>
  <c r="V64" i="11"/>
  <c r="V66" i="11"/>
  <c r="V68" i="11"/>
  <c r="V81" i="11"/>
  <c r="V85" i="11"/>
  <c r="V69" i="11"/>
  <c r="V72" i="11"/>
  <c r="V76" i="11"/>
  <c r="V82" i="11"/>
  <c r="V87" i="11"/>
  <c r="V61" i="11"/>
  <c r="V70" i="11"/>
  <c r="V78" i="11"/>
  <c r="V83" i="11"/>
  <c r="V79" i="11"/>
  <c r="V84" i="11"/>
  <c r="V71" i="11"/>
  <c r="V80" i="11"/>
  <c r="AF32" i="23"/>
  <c r="AU136" i="23" s="1"/>
  <c r="AD38" i="23"/>
  <c r="V86" i="11"/>
  <c r="V46" i="11"/>
  <c r="AD44" i="23"/>
  <c r="G11" i="23"/>
  <c r="V50" i="11"/>
  <c r="V75" i="11"/>
  <c r="AE32" i="23"/>
  <c r="AS136" i="23" s="1"/>
  <c r="CJ12" i="23"/>
  <c r="V49" i="11"/>
  <c r="V48" i="11" s="1"/>
  <c r="AG32" i="23"/>
  <c r="AU141" i="23" s="1"/>
  <c r="V94" i="11"/>
  <c r="AH33" i="23"/>
  <c r="AJ36" i="23"/>
  <c r="V77" i="11"/>
  <c r="V74" i="11"/>
  <c r="N57" i="11"/>
  <c r="N60" i="11"/>
  <c r="N55" i="11"/>
  <c r="N56" i="11"/>
  <c r="N58" i="11"/>
  <c r="N63" i="11"/>
  <c r="N67" i="11"/>
  <c r="N71" i="11"/>
  <c r="N75" i="11"/>
  <c r="N79" i="11"/>
  <c r="N83" i="11"/>
  <c r="N87" i="11"/>
  <c r="N59" i="11"/>
  <c r="N61" i="11"/>
  <c r="N62" i="11"/>
  <c r="N68" i="11"/>
  <c r="N72" i="11"/>
  <c r="N76" i="11"/>
  <c r="N80" i="11"/>
  <c r="N84" i="11"/>
  <c r="N69" i="11"/>
  <c r="N73" i="11"/>
  <c r="N77" i="11"/>
  <c r="N81" i="11"/>
  <c r="N85" i="11"/>
  <c r="N74" i="11"/>
  <c r="N78" i="11"/>
  <c r="AE23" i="23"/>
  <c r="AS88" i="23" s="1"/>
  <c r="AD24" i="23"/>
  <c r="N66" i="11"/>
  <c r="N82" i="11"/>
  <c r="N86" i="11"/>
  <c r="E15" i="23"/>
  <c r="N50" i="11"/>
  <c r="CB12" i="23"/>
  <c r="N70" i="11"/>
  <c r="N49" i="11"/>
  <c r="N48" i="11" s="1"/>
  <c r="AG23" i="23"/>
  <c r="BA91" i="23" s="1"/>
  <c r="AI23" i="23"/>
  <c r="N64" i="11"/>
  <c r="N94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5" i="11"/>
  <c r="F73" i="11"/>
  <c r="F81" i="11"/>
  <c r="F58" i="11"/>
  <c r="F66" i="11"/>
  <c r="F74" i="11"/>
  <c r="F82" i="11"/>
  <c r="F61" i="11"/>
  <c r="F69" i="11"/>
  <c r="F77" i="11"/>
  <c r="F85" i="11"/>
  <c r="F86" i="11"/>
  <c r="F62" i="11"/>
  <c r="F50" i="11"/>
  <c r="F70" i="11"/>
  <c r="C19" i="23"/>
  <c r="AD15" i="23"/>
  <c r="F78" i="11"/>
  <c r="AD13" i="23"/>
  <c r="F49" i="11"/>
  <c r="F48" i="11" s="1"/>
  <c r="F46" i="11"/>
  <c r="BT12" i="23"/>
  <c r="AI14" i="23"/>
  <c r="AX21" i="23" s="1"/>
  <c r="AM16" i="23"/>
  <c r="F55" i="11"/>
  <c r="AG14" i="23"/>
  <c r="AX31" i="23" s="1"/>
  <c r="AM14" i="23"/>
  <c r="F59" i="11"/>
  <c r="F94" i="11"/>
  <c r="W48" i="11" l="1"/>
  <c r="AH48" i="11"/>
  <c r="L48" i="11"/>
  <c r="H48" i="11"/>
  <c r="T48" i="11"/>
  <c r="AJ32" i="23"/>
  <c r="AX146" i="23"/>
  <c r="AU26" i="23"/>
  <c r="AO15" i="23"/>
  <c r="E17" i="23"/>
  <c r="E16" i="23"/>
  <c r="AY34" i="23"/>
  <c r="AD14" i="23"/>
  <c r="M15" i="23"/>
  <c r="E51" i="11"/>
  <c r="S15" i="23" s="1"/>
  <c r="E49" i="23"/>
  <c r="E48" i="23"/>
  <c r="J61" i="11"/>
  <c r="J92" i="11"/>
  <c r="L92" i="11"/>
  <c r="L63" i="11"/>
  <c r="AG49" i="23"/>
  <c r="AX8" i="23"/>
  <c r="AZ8" i="23"/>
  <c r="P67" i="11"/>
  <c r="P92" i="11" s="1"/>
  <c r="M64" i="11"/>
  <c r="M92" i="11" s="1"/>
  <c r="S70" i="11"/>
  <c r="S92" i="11" s="1"/>
  <c r="Z77" i="11"/>
  <c r="Z92" i="11" s="1"/>
  <c r="S51" i="11"/>
  <c r="T39" i="23" s="1"/>
  <c r="N39" i="23"/>
  <c r="AZ122" i="23" s="1"/>
  <c r="N41" i="23"/>
  <c r="N40" i="23" s="1"/>
  <c r="AF28" i="23"/>
  <c r="BD111" i="23" s="1"/>
  <c r="K37" i="23"/>
  <c r="K36" i="23"/>
  <c r="BB175" i="23"/>
  <c r="AI22" i="23"/>
  <c r="BA85" i="23"/>
  <c r="AD48" i="11"/>
  <c r="AI12" i="23"/>
  <c r="BA21" i="23"/>
  <c r="N47" i="23"/>
  <c r="AZ124" i="23" s="1"/>
  <c r="N49" i="23"/>
  <c r="N48" i="23" s="1"/>
  <c r="U51" i="11"/>
  <c r="T47" i="23" s="1"/>
  <c r="AF30" i="23"/>
  <c r="BF111" i="23" s="1"/>
  <c r="K62" i="11"/>
  <c r="K92" i="11" s="1"/>
  <c r="BF22" i="23"/>
  <c r="BF21" i="23"/>
  <c r="BH22" i="23"/>
  <c r="Y76" i="11"/>
  <c r="Y92" i="11" s="1"/>
  <c r="Q68" i="11"/>
  <c r="Q92" i="11"/>
  <c r="AG84" i="11"/>
  <c r="AG92" i="11" s="1"/>
  <c r="H59" i="11"/>
  <c r="H92" i="11"/>
  <c r="AJ87" i="11"/>
  <c r="AJ92" i="11" s="1"/>
  <c r="AE82" i="11"/>
  <c r="AE92" i="11" s="1"/>
  <c r="O66" i="11"/>
  <c r="O92" i="11" s="1"/>
  <c r="V73" i="11"/>
  <c r="V93" i="11" s="1"/>
  <c r="AK22" i="23"/>
  <c r="BD84" i="23"/>
  <c r="N27" i="23"/>
  <c r="P51" i="11"/>
  <c r="T27" i="23" s="1"/>
  <c r="E29" i="23"/>
  <c r="E28" i="23"/>
  <c r="X48" i="11"/>
  <c r="AF17" i="23"/>
  <c r="AV47" i="23" s="1"/>
  <c r="M35" i="23"/>
  <c r="AZ56" i="23" s="1"/>
  <c r="I51" i="11"/>
  <c r="S35" i="23" s="1"/>
  <c r="M37" i="23"/>
  <c r="M36" i="23" s="1"/>
  <c r="Y48" i="11"/>
  <c r="AZ147" i="23"/>
  <c r="AO39" i="23"/>
  <c r="J93" i="11"/>
  <c r="R48" i="11"/>
  <c r="E36" i="23"/>
  <c r="E37" i="23"/>
  <c r="AH22" i="23"/>
  <c r="BA87" i="23"/>
  <c r="AT136" i="23"/>
  <c r="E51" i="23"/>
  <c r="F11" i="23" s="1"/>
  <c r="AY75" i="23" s="1"/>
  <c r="E13" i="23"/>
  <c r="F13" i="23" s="1"/>
  <c r="E12" i="23"/>
  <c r="AS9" i="23"/>
  <c r="M93" i="11"/>
  <c r="AZ161" i="23"/>
  <c r="AC51" i="11"/>
  <c r="V31" i="23" s="1"/>
  <c r="P31" i="23"/>
  <c r="P32" i="23" s="1"/>
  <c r="P33" i="23" s="1"/>
  <c r="K51" i="11"/>
  <c r="S43" i="23" s="1"/>
  <c r="M45" i="23"/>
  <c r="M44" i="23" s="1"/>
  <c r="M43" i="23"/>
  <c r="AZ58" i="23" s="1"/>
  <c r="AF19" i="23"/>
  <c r="BH47" i="23" s="1"/>
  <c r="AH38" i="23"/>
  <c r="BA147" i="23"/>
  <c r="I51" i="23"/>
  <c r="BA172" i="23"/>
  <c r="I13" i="23"/>
  <c r="I12" i="23"/>
  <c r="J12" i="23" s="1"/>
  <c r="E44" i="23"/>
  <c r="E45" i="23"/>
  <c r="F45" i="23" s="1"/>
  <c r="N45" i="23"/>
  <c r="N44" i="23" s="1"/>
  <c r="T51" i="11"/>
  <c r="T43" i="23" s="1"/>
  <c r="N43" i="23"/>
  <c r="AZ123" i="23" s="1"/>
  <c r="AF29" i="23"/>
  <c r="BH111" i="23" s="1"/>
  <c r="BA173" i="23"/>
  <c r="J27" i="23"/>
  <c r="BB150" i="23" s="1"/>
  <c r="I29" i="23"/>
  <c r="I28" i="23"/>
  <c r="J28" i="23" s="1"/>
  <c r="AO40" i="23"/>
  <c r="AZ157" i="23"/>
  <c r="Q47" i="23"/>
  <c r="AJ51" i="11"/>
  <c r="W47" i="23" s="1"/>
  <c r="Q49" i="23"/>
  <c r="Q48" i="23" s="1"/>
  <c r="AF48" i="23"/>
  <c r="BJ164" i="23" s="1"/>
  <c r="AF26" i="23"/>
  <c r="AX111" i="23" s="1"/>
  <c r="N25" i="23"/>
  <c r="N24" i="23" s="1"/>
  <c r="Q51" i="11"/>
  <c r="T23" i="23" s="1"/>
  <c r="N23" i="23"/>
  <c r="AZ120" i="23" s="1"/>
  <c r="E56" i="11"/>
  <c r="E92" i="11" s="1"/>
  <c r="BD22" i="23"/>
  <c r="AJ12" i="23"/>
  <c r="C46" i="11"/>
  <c r="G11" i="20"/>
  <c r="G8" i="20"/>
  <c r="F11" i="20"/>
  <c r="G10" i="20" s="1"/>
  <c r="AS73" i="23"/>
  <c r="AF83" i="11"/>
  <c r="AF92" i="11" s="1"/>
  <c r="AC80" i="11"/>
  <c r="AC92" i="11" s="1"/>
  <c r="AB79" i="11"/>
  <c r="AB92" i="11" s="1"/>
  <c r="AA78" i="11"/>
  <c r="AA93" i="11" s="1"/>
  <c r="AH85" i="11"/>
  <c r="AH92" i="11" s="1"/>
  <c r="R69" i="11"/>
  <c r="R92" i="11" s="1"/>
  <c r="AL23" i="23"/>
  <c r="BB87" i="23" s="1"/>
  <c r="AL24" i="23"/>
  <c r="Q37" i="23"/>
  <c r="Q36" i="23" s="1"/>
  <c r="AF47" i="23"/>
  <c r="BH164" i="23" s="1"/>
  <c r="AI51" i="11"/>
  <c r="W35" i="23" s="1"/>
  <c r="Q35" i="23"/>
  <c r="AT147" i="23"/>
  <c r="AO33" i="23"/>
  <c r="X51" i="11"/>
  <c r="U31" i="23" s="1"/>
  <c r="O31" i="23"/>
  <c r="O32" i="23" s="1"/>
  <c r="O33" i="23" s="1"/>
  <c r="Q11" i="23"/>
  <c r="AF51" i="11"/>
  <c r="W11" i="23" s="1"/>
  <c r="Y93" i="11"/>
  <c r="AU42" i="23"/>
  <c r="C28" i="23"/>
  <c r="C29" i="23"/>
  <c r="AT157" i="23"/>
  <c r="AO34" i="23"/>
  <c r="O27" i="23"/>
  <c r="O28" i="23" s="1"/>
  <c r="O29" i="23" s="1"/>
  <c r="W51" i="11"/>
  <c r="U27" i="23" s="1"/>
  <c r="AU90" i="23"/>
  <c r="AO25" i="23"/>
  <c r="AL13" i="23"/>
  <c r="BB23" i="23" s="1"/>
  <c r="AL14" i="23"/>
  <c r="AY23" i="23" s="1"/>
  <c r="C40" i="23"/>
  <c r="C41" i="23"/>
  <c r="N35" i="23"/>
  <c r="AZ121" i="23" s="1"/>
  <c r="AF27" i="23"/>
  <c r="AV111" i="23" s="1"/>
  <c r="R51" i="11"/>
  <c r="T35" i="23" s="1"/>
  <c r="N37" i="23"/>
  <c r="N36" i="23" s="1"/>
  <c r="Z93" i="11"/>
  <c r="AO47" i="23"/>
  <c r="BF161" i="23"/>
  <c r="BH86" i="23"/>
  <c r="J31" i="23"/>
  <c r="BB156" i="23" s="1"/>
  <c r="BA174" i="23"/>
  <c r="I32" i="23"/>
  <c r="J32" i="23" s="1"/>
  <c r="I33" i="23"/>
  <c r="BF157" i="23"/>
  <c r="AO46" i="23"/>
  <c r="BB173" i="23"/>
  <c r="K29" i="23"/>
  <c r="K28" i="23"/>
  <c r="Q27" i="23"/>
  <c r="Q28" i="23" s="1"/>
  <c r="Q29" i="23" s="1"/>
  <c r="AG51" i="11"/>
  <c r="W27" i="23" s="1"/>
  <c r="F19" i="23"/>
  <c r="AY94" i="23" s="1"/>
  <c r="E20" i="23"/>
  <c r="F20" i="23" s="1"/>
  <c r="E21" i="23"/>
  <c r="AE93" i="11"/>
  <c r="I48" i="23"/>
  <c r="J48" i="23" s="1"/>
  <c r="BA176" i="23"/>
  <c r="I49" i="23"/>
  <c r="J47" i="23"/>
  <c r="BD155" i="23" s="1"/>
  <c r="F51" i="11"/>
  <c r="S19" i="23" s="1"/>
  <c r="AE14" i="23"/>
  <c r="AS25" i="23" s="1"/>
  <c r="M19" i="23"/>
  <c r="N51" i="11"/>
  <c r="T15" i="23" s="1"/>
  <c r="N15" i="23"/>
  <c r="AF41" i="23"/>
  <c r="BB164" i="23" s="1"/>
  <c r="AD51" i="11"/>
  <c r="V35" i="23" s="1"/>
  <c r="P35" i="23"/>
  <c r="P37" i="23"/>
  <c r="P36" i="23" s="1"/>
  <c r="AU147" i="23"/>
  <c r="AH32" i="23"/>
  <c r="AO32" i="23" s="1"/>
  <c r="G51" i="23"/>
  <c r="H27" i="23" s="1"/>
  <c r="AV150" i="23" s="1"/>
  <c r="AZ172" i="23"/>
  <c r="G13" i="23"/>
  <c r="G12" i="23"/>
  <c r="AZ136" i="23"/>
  <c r="I36" i="23"/>
  <c r="J36" i="23" s="1"/>
  <c r="BA175" i="23"/>
  <c r="I37" i="23"/>
  <c r="J37" i="23" s="1"/>
  <c r="J35" i="23"/>
  <c r="BB162" i="23" s="1"/>
  <c r="D55" i="11"/>
  <c r="C17" i="23"/>
  <c r="C16" i="23"/>
  <c r="F57" i="11"/>
  <c r="F92" i="11" s="1"/>
  <c r="G58" i="11"/>
  <c r="G93" i="11" s="1"/>
  <c r="AH12" i="23"/>
  <c r="BA23" i="23"/>
  <c r="C94" i="11"/>
  <c r="C49" i="11"/>
  <c r="D48" i="11"/>
  <c r="M11" i="23"/>
  <c r="D51" i="11"/>
  <c r="S11" i="23" s="1"/>
  <c r="X75" i="11"/>
  <c r="X92" i="11" s="1"/>
  <c r="U72" i="11"/>
  <c r="U93" i="11" s="1"/>
  <c r="T71" i="11"/>
  <c r="T92" i="11" s="1"/>
  <c r="W74" i="11"/>
  <c r="W93" i="11" s="1"/>
  <c r="AD92" i="11"/>
  <c r="AD81" i="11"/>
  <c r="AD93" i="11" s="1"/>
  <c r="N65" i="11"/>
  <c r="N93" i="11" s="1"/>
  <c r="N92" i="11"/>
  <c r="E41" i="23"/>
  <c r="F41" i="23" s="1"/>
  <c r="F39" i="23"/>
  <c r="BD96" i="23" s="1"/>
  <c r="E40" i="23"/>
  <c r="C24" i="23"/>
  <c r="C25" i="23"/>
  <c r="AU106" i="23"/>
  <c r="P93" i="11"/>
  <c r="H31" i="23"/>
  <c r="AV156" i="23" s="1"/>
  <c r="AZ174" i="23"/>
  <c r="G32" i="23"/>
  <c r="G33" i="23"/>
  <c r="AJ44" i="23"/>
  <c r="BJ146" i="23"/>
  <c r="K51" i="23"/>
  <c r="L47" i="23" s="1"/>
  <c r="BJ155" i="23" s="1"/>
  <c r="BB172" i="23"/>
  <c r="K12" i="23"/>
  <c r="K13" i="23"/>
  <c r="AF93" i="11"/>
  <c r="H35" i="23"/>
  <c r="AV162" i="23" s="1"/>
  <c r="G37" i="23"/>
  <c r="G36" i="23"/>
  <c r="AZ175" i="23"/>
  <c r="M27" i="23"/>
  <c r="G51" i="11"/>
  <c r="S27" i="23" s="1"/>
  <c r="BF147" i="23"/>
  <c r="AO45" i="23"/>
  <c r="AK12" i="23"/>
  <c r="AO12" i="23" s="1"/>
  <c r="BD20" i="23"/>
  <c r="G49" i="23"/>
  <c r="AZ176" i="23"/>
  <c r="G48" i="23"/>
  <c r="AH51" i="11"/>
  <c r="W31" i="23" s="1"/>
  <c r="Q31" i="23"/>
  <c r="Q32" i="23" s="1"/>
  <c r="Q33" i="23" s="1"/>
  <c r="AH93" i="11"/>
  <c r="BF86" i="23"/>
  <c r="M51" i="11"/>
  <c r="T11" i="23" s="1"/>
  <c r="N11" i="23"/>
  <c r="K48" i="11"/>
  <c r="P11" i="23"/>
  <c r="AA51" i="11"/>
  <c r="V11" i="23" s="1"/>
  <c r="L93" i="11"/>
  <c r="M49" i="23"/>
  <c r="M48" i="23" s="1"/>
  <c r="L51" i="11"/>
  <c r="S47" i="23" s="1"/>
  <c r="M47" i="23"/>
  <c r="AZ59" i="23" s="1"/>
  <c r="AF20" i="23"/>
  <c r="BF47" i="23" s="1"/>
  <c r="AB48" i="11"/>
  <c r="AB93" i="11"/>
  <c r="K49" i="23"/>
  <c r="BB176" i="23"/>
  <c r="K48" i="23"/>
  <c r="L48" i="23" s="1"/>
  <c r="E24" i="23"/>
  <c r="E25" i="23"/>
  <c r="F25" i="23" s="1"/>
  <c r="F23" i="23"/>
  <c r="AY101" i="23" s="1"/>
  <c r="Q93" i="11"/>
  <c r="AG93" i="11"/>
  <c r="O51" i="11"/>
  <c r="T19" i="23" s="1"/>
  <c r="N19" i="23"/>
  <c r="P49" i="23"/>
  <c r="P48" i="23" s="1"/>
  <c r="AE51" i="11"/>
  <c r="V47" i="23" s="1"/>
  <c r="P47" i="23"/>
  <c r="AF42" i="23"/>
  <c r="BD164" i="23" s="1"/>
  <c r="O11" i="23"/>
  <c r="V51" i="11"/>
  <c r="U11" i="23" s="1"/>
  <c r="F93" i="11"/>
  <c r="AX89" i="23"/>
  <c r="AO24" i="23"/>
  <c r="C21" i="23"/>
  <c r="C20" i="23"/>
  <c r="D20" i="23" s="1"/>
  <c r="BF136" i="23"/>
  <c r="C51" i="23"/>
  <c r="D11" i="23"/>
  <c r="AY11" i="23" s="1"/>
  <c r="C13" i="23"/>
  <c r="D13" i="23" s="1"/>
  <c r="C12" i="23"/>
  <c r="D12" i="23" s="1"/>
  <c r="I60" i="11"/>
  <c r="I92" i="11"/>
  <c r="AI86" i="11"/>
  <c r="AI92" i="11" s="1"/>
  <c r="M23" i="23"/>
  <c r="AZ55" i="23" s="1"/>
  <c r="AF16" i="23"/>
  <c r="AX47" i="23" s="1"/>
  <c r="H51" i="11"/>
  <c r="S23" i="23" s="1"/>
  <c r="M25" i="23"/>
  <c r="M24" i="23" s="1"/>
  <c r="H93" i="11"/>
  <c r="AT161" i="23"/>
  <c r="X93" i="11"/>
  <c r="BG147" i="23"/>
  <c r="AH44" i="23"/>
  <c r="C36" i="23"/>
  <c r="D36" i="23" s="1"/>
  <c r="C37" i="23"/>
  <c r="D37" i="23" s="1"/>
  <c r="D35" i="23"/>
  <c r="AV43" i="23" s="1"/>
  <c r="I93" i="11"/>
  <c r="Y51" i="11"/>
  <c r="U35" i="23" s="1"/>
  <c r="O35" i="23"/>
  <c r="O37" i="23"/>
  <c r="O36" i="23" s="1"/>
  <c r="AF35" i="23"/>
  <c r="AV164" i="23" s="1"/>
  <c r="AZ173" i="23"/>
  <c r="G29" i="23"/>
  <c r="H29" i="23" s="1"/>
  <c r="G28" i="23"/>
  <c r="J51" i="11"/>
  <c r="S39" i="23" s="1"/>
  <c r="M39" i="23"/>
  <c r="AZ57" i="23" s="1"/>
  <c r="M41" i="23"/>
  <c r="M40" i="23" s="1"/>
  <c r="AF18" i="23"/>
  <c r="BD47" i="23" s="1"/>
  <c r="O49" i="23"/>
  <c r="O48" i="23" s="1"/>
  <c r="Z51" i="11"/>
  <c r="U47" i="23" s="1"/>
  <c r="O47" i="23"/>
  <c r="AF36" i="23"/>
  <c r="AX164" i="23" s="1"/>
  <c r="BB174" i="23"/>
  <c r="L31" i="23"/>
  <c r="BH156" i="23" s="1"/>
  <c r="K32" i="23"/>
  <c r="K33" i="23"/>
  <c r="AJ22" i="23"/>
  <c r="BD86" i="23"/>
  <c r="K93" i="11"/>
  <c r="D43" i="23"/>
  <c r="BF31" i="23" s="1"/>
  <c r="C44" i="23"/>
  <c r="D44" i="23" s="1"/>
  <c r="C45" i="23"/>
  <c r="D45" i="23" s="1"/>
  <c r="BD151" i="23"/>
  <c r="BD146" i="23"/>
  <c r="AJ38" i="23"/>
  <c r="AO38" i="23" s="1"/>
  <c r="C48" i="23"/>
  <c r="D48" i="23" s="1"/>
  <c r="C49" i="23"/>
  <c r="D49" i="23" s="1"/>
  <c r="D47" i="23"/>
  <c r="BH31" i="23" s="1"/>
  <c r="P27" i="23"/>
  <c r="P28" i="23" s="1"/>
  <c r="P29" i="23" s="1"/>
  <c r="AB51" i="11"/>
  <c r="V27" i="23" s="1"/>
  <c r="AO26" i="23"/>
  <c r="AY98" i="23"/>
  <c r="O93" i="11"/>
  <c r="AO22" i="23" l="1"/>
  <c r="H47" i="23"/>
  <c r="AX155" i="23" s="1"/>
  <c r="H33" i="23"/>
  <c r="X95" i="11"/>
  <c r="H12" i="23"/>
  <c r="H11" i="23"/>
  <c r="AV142" i="23" s="1"/>
  <c r="AC93" i="11"/>
  <c r="AC95" i="11" s="1"/>
  <c r="AA92" i="11"/>
  <c r="AF95" i="11"/>
  <c r="E95" i="11"/>
  <c r="L33" i="23"/>
  <c r="R93" i="11"/>
  <c r="D51" i="23"/>
  <c r="D19" i="23"/>
  <c r="AY30" i="23" s="1"/>
  <c r="F24" i="23"/>
  <c r="L49" i="23"/>
  <c r="H49" i="23"/>
  <c r="H36" i="23"/>
  <c r="L13" i="23"/>
  <c r="AO48" i="23"/>
  <c r="H32" i="23"/>
  <c r="F40" i="23"/>
  <c r="F95" i="11"/>
  <c r="E93" i="11"/>
  <c r="J49" i="23"/>
  <c r="AO23" i="23"/>
  <c r="J33" i="23"/>
  <c r="AJ93" i="11"/>
  <c r="F43" i="23"/>
  <c r="BH96" i="23" s="1"/>
  <c r="S93" i="11"/>
  <c r="S95" i="11" s="1"/>
  <c r="O95" i="11"/>
  <c r="Y95" i="11"/>
  <c r="K95" i="11"/>
  <c r="AJ95" i="11"/>
  <c r="L32" i="23"/>
  <c r="H28" i="23"/>
  <c r="AO44" i="23"/>
  <c r="H48" i="23"/>
  <c r="H37" i="23"/>
  <c r="L12" i="23"/>
  <c r="AO27" i="23"/>
  <c r="AO28" i="23" s="1"/>
  <c r="AO29" i="23" s="1"/>
  <c r="AO30" i="23" s="1"/>
  <c r="U92" i="11"/>
  <c r="U95" i="11" s="1"/>
  <c r="F21" i="23"/>
  <c r="AO17" i="23"/>
  <c r="AH95" i="11"/>
  <c r="F44" i="23"/>
  <c r="AE95" i="11"/>
  <c r="AG95" i="11"/>
  <c r="Z95" i="11"/>
  <c r="P95" i="11"/>
  <c r="S41" i="23"/>
  <c r="S40" i="23"/>
  <c r="U37" i="23"/>
  <c r="U36" i="23"/>
  <c r="S24" i="23"/>
  <c r="S25" i="23"/>
  <c r="O12" i="23"/>
  <c r="O13" i="23"/>
  <c r="S49" i="23"/>
  <c r="S48" i="23"/>
  <c r="P12" i="23"/>
  <c r="P13" i="23"/>
  <c r="W32" i="23"/>
  <c r="W33" i="23"/>
  <c r="L51" i="23"/>
  <c r="D24" i="23"/>
  <c r="AD95" i="11"/>
  <c r="G92" i="11"/>
  <c r="G95" i="11" s="1"/>
  <c r="H51" i="23"/>
  <c r="AZ117" i="23"/>
  <c r="N16" i="23"/>
  <c r="N17" i="23" s="1"/>
  <c r="S21" i="23"/>
  <c r="S20" i="23"/>
  <c r="L28" i="23"/>
  <c r="Q12" i="23"/>
  <c r="Q13" i="23"/>
  <c r="R95" i="11"/>
  <c r="AA95" i="11"/>
  <c r="J51" i="23"/>
  <c r="V33" i="23"/>
  <c r="V32" i="23"/>
  <c r="F51" i="23"/>
  <c r="F36" i="23"/>
  <c r="S36" i="23"/>
  <c r="S37" i="23"/>
  <c r="F28" i="23"/>
  <c r="AZ119" i="23"/>
  <c r="N28" i="23"/>
  <c r="N29" i="23" s="1"/>
  <c r="AF49" i="23"/>
  <c r="F48" i="23"/>
  <c r="M16" i="23"/>
  <c r="M17" i="23" s="1"/>
  <c r="AZ52" i="23"/>
  <c r="F16" i="23"/>
  <c r="AO35" i="23"/>
  <c r="AO36" i="23" s="1"/>
  <c r="I95" i="11"/>
  <c r="AZ118" i="23"/>
  <c r="N20" i="23"/>
  <c r="N21" i="23" s="1"/>
  <c r="S28" i="23"/>
  <c r="S29" i="23"/>
  <c r="D23" i="23"/>
  <c r="AY37" i="23" s="1"/>
  <c r="N95" i="11"/>
  <c r="S12" i="23"/>
  <c r="S13" i="23"/>
  <c r="S51" i="23"/>
  <c r="D16" i="23"/>
  <c r="D92" i="11"/>
  <c r="D93" i="11"/>
  <c r="T17" i="23"/>
  <c r="T16" i="23"/>
  <c r="L29" i="23"/>
  <c r="D41" i="23"/>
  <c r="U28" i="23"/>
  <c r="U29" i="23"/>
  <c r="D29" i="23"/>
  <c r="AX85" i="23"/>
  <c r="AY87" i="23"/>
  <c r="AB95" i="11"/>
  <c r="AO18" i="23"/>
  <c r="AO19" i="23" s="1"/>
  <c r="AO20" i="23" s="1"/>
  <c r="W49" i="23"/>
  <c r="W48" i="23"/>
  <c r="J13" i="23"/>
  <c r="AO41" i="23"/>
  <c r="AO42" i="23" s="1"/>
  <c r="F29" i="23"/>
  <c r="AI93" i="11"/>
  <c r="AI95" i="11" s="1"/>
  <c r="H95" i="11"/>
  <c r="Q95" i="11"/>
  <c r="T48" i="23"/>
  <c r="T49" i="23"/>
  <c r="L36" i="23"/>
  <c r="M95" i="11"/>
  <c r="L95" i="11"/>
  <c r="F47" i="23"/>
  <c r="BF96" i="23" s="1"/>
  <c r="AX25" i="23"/>
  <c r="AO14" i="23"/>
  <c r="F17" i="23"/>
  <c r="U48" i="23"/>
  <c r="U49" i="23"/>
  <c r="D21" i="23"/>
  <c r="T20" i="23"/>
  <c r="T21" i="23"/>
  <c r="AZ116" i="23"/>
  <c r="N12" i="23"/>
  <c r="N13" i="23"/>
  <c r="AZ54" i="23"/>
  <c r="M28" i="23"/>
  <c r="M29" i="23" s="1"/>
  <c r="W92" i="11"/>
  <c r="W95" i="11" s="1"/>
  <c r="AZ51" i="23"/>
  <c r="M12" i="23"/>
  <c r="M13" i="23"/>
  <c r="D17" i="23"/>
  <c r="H13" i="23"/>
  <c r="V36" i="23"/>
  <c r="V37" i="23"/>
  <c r="M20" i="23"/>
  <c r="M21" i="23" s="1"/>
  <c r="AZ53" i="23"/>
  <c r="W28" i="23"/>
  <c r="W29" i="23"/>
  <c r="T93" i="11"/>
  <c r="T95" i="11" s="1"/>
  <c r="T36" i="23"/>
  <c r="T37" i="23"/>
  <c r="D40" i="23"/>
  <c r="D28" i="23"/>
  <c r="U33" i="23"/>
  <c r="U32" i="23"/>
  <c r="W36" i="23"/>
  <c r="W37" i="23"/>
  <c r="J29" i="23"/>
  <c r="S44" i="23"/>
  <c r="S45" i="23"/>
  <c r="F12" i="23"/>
  <c r="F35" i="23"/>
  <c r="AV107" i="23" s="1"/>
  <c r="F27" i="23"/>
  <c r="AV101" i="23" s="1"/>
  <c r="V92" i="11"/>
  <c r="V95" i="11" s="1"/>
  <c r="L35" i="23"/>
  <c r="BH162" i="23" s="1"/>
  <c r="J95" i="11"/>
  <c r="F49" i="23"/>
  <c r="AO16" i="23"/>
  <c r="F15" i="23"/>
  <c r="BB91" i="23" s="1"/>
  <c r="V29" i="23"/>
  <c r="V28" i="23"/>
  <c r="U13" i="23"/>
  <c r="U51" i="23"/>
  <c r="U12" i="23"/>
  <c r="V49" i="23"/>
  <c r="V48" i="23"/>
  <c r="V51" i="23"/>
  <c r="V13" i="23"/>
  <c r="V12" i="23"/>
  <c r="T13" i="23"/>
  <c r="T51" i="23"/>
  <c r="T12" i="23"/>
  <c r="L11" i="23"/>
  <c r="BH142" i="23" s="1"/>
  <c r="D25" i="23"/>
  <c r="C48" i="11"/>
  <c r="D15" i="23"/>
  <c r="BB27" i="23" s="1"/>
  <c r="L27" i="23"/>
  <c r="BH150" i="23" s="1"/>
  <c r="D39" i="23"/>
  <c r="BD31" i="23" s="1"/>
  <c r="D27" i="23"/>
  <c r="AV37" i="23" s="1"/>
  <c r="W13" i="23"/>
  <c r="W12" i="23"/>
  <c r="W51" i="23"/>
  <c r="T25" i="23"/>
  <c r="T24" i="23"/>
  <c r="T45" i="23"/>
  <c r="T44" i="23"/>
  <c r="J11" i="23"/>
  <c r="BB142" i="23" s="1"/>
  <c r="F37" i="23"/>
  <c r="T29" i="23"/>
  <c r="T28" i="23"/>
  <c r="AO13" i="23"/>
  <c r="L37" i="23"/>
  <c r="T40" i="23"/>
  <c r="T41" i="23"/>
  <c r="S16" i="23"/>
  <c r="S17" i="23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<sst xmlns="http://schemas.openxmlformats.org/spreadsheetml/2006/main" count="14980" uniqueCount="4055">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</sst>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19834.490020791491</v>
      </c>
      <c r="D11" s="117">
        <f>C11/$C$51</f>
        <v>2.4974843313732919E-6</v>
      </c>
      <c r="E11" s="517">
        <f>M.aC*Molweight</f>
        <v>19750.924346705742</v>
      </c>
      <c r="F11" s="117">
        <f>E11/$E$51</f>
        <v>6.2478067873065377E-6</v>
      </c>
      <c r="G11" s="517">
        <f>M.aM*Molweight</f>
        <v>3028.2530806924174</v>
      </c>
      <c r="H11" s="117">
        <f>G11/$G$51</f>
        <v>1.1862990595044001E-8</v>
      </c>
      <c r="I11" s="517">
        <f>M.aA*Molweight</f>
        <v>131.88773784778076</v>
      </c>
      <c r="J11" s="117">
        <f>I11/$I$51</f>
        <v>7.8075073063758778E-10</v>
      </c>
      <c r="K11" s="517">
        <f>M.aT*Molweight</f>
        <v>234.4129951063166</v>
      </c>
      <c r="L11" s="118">
        <f>K11/$K$51</f>
        <v>3.7257284775813123E-10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3.9038378437615841E-11</v>
      </c>
      <c r="P11" s="320">
        <f>C.aA*(Molweight*1000)</f>
        <v>3.1032408905360179E-12</v>
      </c>
      <c r="Q11" s="321">
        <f>C.aT*(Molweight*1000)</f>
        <v>1.8385332949515028E-12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7.596997973402296E-10</v>
      </c>
      <c r="V11" s="323">
        <f>F.aA</f>
        <v>5.5728405657933864E-11</v>
      </c>
      <c r="W11" s="324">
        <f>F.aT</f>
        <v>3.7410468237841531E-11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2.4974843313732919E-6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2.1737135841913555E-6</v>
      </c>
      <c r="D12" s="122">
        <f>C12/$C$51</f>
        <v>2.7370583320874077E-16</v>
      </c>
      <c r="E12" s="318">
        <f>FRgas.aC*E11</f>
        <v>2.1645554036310341E-6</v>
      </c>
      <c r="F12" s="122">
        <f>E12/$E$51</f>
        <v>6.8471346985654575E-16</v>
      </c>
      <c r="G12" s="318">
        <f>FRgas.aM*G11</f>
        <v>3.3187416721933711E-7</v>
      </c>
      <c r="H12" s="122">
        <f>G12/$G$51</f>
        <v>1.3000961344884843E-18</v>
      </c>
      <c r="I12" s="318">
        <f>FRgas.aA*I11</f>
        <v>3.5432624311340595E-9</v>
      </c>
      <c r="J12" s="122">
        <f>I12/$I$51</f>
        <v>2.0975450614988177E-20</v>
      </c>
      <c r="K12" s="318">
        <f>FRgas.aT*K11</f>
        <v>3.9811981636812912E-8</v>
      </c>
      <c r="L12" s="123">
        <f>K12/$K$51</f>
        <v>6.3276625797108467E-20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4.2783178909916943E-21</v>
      </c>
      <c r="P12" s="320">
        <f>FRgas.aA*P11</f>
        <v>8.337088073256611E-23</v>
      </c>
      <c r="Q12" s="320">
        <f>FRgas.aT*Q11</f>
        <v>3.1225083636716014E-22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8.3257485705698991E-20</v>
      </c>
      <c r="V12" s="325">
        <f>V11*FRgas.aA</f>
        <v>1.4971851768559122E-21</v>
      </c>
      <c r="W12" s="326">
        <f>W11*FRgas.aT</f>
        <v>6.3536787874495539E-21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3.4357889012979531E-17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2546952.7053367202</v>
      </c>
      <c r="BV12" s="425">
        <f>engine!H45</f>
        <v>1040347524.3717327</v>
      </c>
      <c r="BW12" s="425">
        <f>engine!I45</f>
        <v>17979499.484299667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4393653.0945963217</v>
      </c>
      <c r="CD12" s="425">
        <f>engine!P45</f>
        <v>12663812360.810711</v>
      </c>
      <c r="CE12" s="425">
        <f>engine!Q45</f>
        <v>100918336.01325338</v>
      </c>
      <c r="CF12" s="425">
        <f>engine!R45</f>
        <v>4469831876.6064854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24870.672476120377</v>
      </c>
      <c r="CK12" s="425">
        <f>engine!W45</f>
        <v>66097613833.387802</v>
      </c>
      <c r="CL12" s="611"/>
      <c r="CM12" s="425">
        <f>engine!Y45</f>
        <v>46659280449.987747</v>
      </c>
      <c r="CN12" s="425">
        <f>engine!Z45</f>
        <v>827676349.65877819</v>
      </c>
      <c r="CO12" s="425">
        <f>engine!AA45</f>
        <v>1083.1778732570692</v>
      </c>
      <c r="CP12" s="425">
        <f>engine!AB45</f>
        <v>52949299479.46981</v>
      </c>
      <c r="CQ12" s="425"/>
      <c r="CR12" s="425">
        <f>engine!AD45</f>
        <v>30676282749.792751</v>
      </c>
      <c r="CS12" s="425">
        <f>engine!AE45</f>
        <v>59910149.718786567</v>
      </c>
      <c r="CT12" s="425">
        <f>engine!AF45</f>
        <v>1925.2052817535857</v>
      </c>
      <c r="CU12" s="425">
        <f>engine!AG45</f>
        <v>152082895028.20151</v>
      </c>
      <c r="CV12" s="425"/>
      <c r="CW12" s="425">
        <f>engine!AI45</f>
        <v>115298729594.25783</v>
      </c>
      <c r="CX12" s="425">
        <f>engine!AJ45</f>
        <v>23361642.725581903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19834.490018617777</v>
      </c>
      <c r="D13" s="122">
        <f>C13/$C$51</f>
        <v>2.4974843310995859E-6</v>
      </c>
      <c r="E13" s="318">
        <f>(1-FRgas.aC)*E11</f>
        <v>19750.924344541188</v>
      </c>
      <c r="F13" s="122">
        <f>E13/$E$51</f>
        <v>6.2478067866218251E-6</v>
      </c>
      <c r="G13" s="318">
        <f>(1-FRgas.aM)*G11</f>
        <v>3028.2530803605432</v>
      </c>
      <c r="H13" s="122">
        <f>G13/$G$51</f>
        <v>1.1862990593743904E-8</v>
      </c>
      <c r="I13" s="318">
        <f>(1-FRgas.aA)*I11</f>
        <v>131.88773784423751</v>
      </c>
      <c r="J13" s="122">
        <f>I13/$I$51</f>
        <v>7.8075073061661234E-10</v>
      </c>
      <c r="K13" s="318">
        <f>(1-FRgas.aT)*K11</f>
        <v>234.41299506650461</v>
      </c>
      <c r="L13" s="123">
        <f>K13/$K$51</f>
        <v>3.725728476948546E-10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3.9038378433337527E-11</v>
      </c>
      <c r="P13" s="320">
        <f>(1-FRgas.aA)*P11</f>
        <v>3.1032408904526472E-12</v>
      </c>
      <c r="Q13" s="320">
        <f>(1-FRgas.aT)*Q11</f>
        <v>1.8385332946392518E-12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7.5969979725697211E-10</v>
      </c>
      <c r="V13" s="325">
        <f>V11*(1-FRgas.aA)</f>
        <v>5.572840565643668E-11</v>
      </c>
      <c r="W13" s="326">
        <f>W11*(1-FRgas.aT)</f>
        <v>3.7410468231487853E-11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631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631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15653044.007106414</v>
      </c>
      <c r="D15" s="122">
        <f>C15/$C$51</f>
        <v>1.970972387243908E-3</v>
      </c>
      <c r="E15" s="318">
        <f>M.w0C*Molweight</f>
        <v>2578658.0279958807</v>
      </c>
      <c r="F15" s="122">
        <f>E15/$E$51</f>
        <v>8.1570648778988934E-4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0.42622346067584366</v>
      </c>
      <c r="AE15" s="325">
        <f>k.w2R.w2C*M.w2R*Molweight</f>
        <v>0.4248151002339588</v>
      </c>
      <c r="AF15" s="330"/>
      <c r="AG15" s="326">
        <f>KDEG.w2R*M.w2R*Molweight</f>
        <v>1.2287458105879616E-15</v>
      </c>
      <c r="AH15" s="325">
        <f>k.aR.w2R*M.aR*Molweight</f>
        <v>5.9319556336104046E-4</v>
      </c>
      <c r="AI15" s="325">
        <f>k.w2R.aR*M.w2R*Molweight</f>
        <v>5.4813501877239937E-19</v>
      </c>
      <c r="AJ15" s="325"/>
      <c r="AK15" s="325"/>
      <c r="AL15" s="631"/>
      <c r="AM15" s="325">
        <f>k.w2R.sd2R*M.w2R*Molweight</f>
        <v>2.2719476949397032E-2</v>
      </c>
      <c r="AN15" s="326">
        <f>k.sd2R.w2R*M.sd2R*Molweight</f>
        <v>2.0717920944152295E-2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15613986.556574339</v>
      </c>
      <c r="D16" s="122">
        <f>C16/$C$51</f>
        <v>1.9660544200753552E-3</v>
      </c>
      <c r="E16" s="318">
        <f>FRw.w0C*E15</f>
        <v>2572223.7645822046</v>
      </c>
      <c r="F16" s="122">
        <f>E16/$E$51</f>
        <v>8.1367113825780589E-4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4.9179671685530919E-6</v>
      </c>
      <c r="E17" s="318">
        <f>(1-FRw.w0C)*E15</f>
        <v>6434.2634136762426</v>
      </c>
      <c r="F17" s="122">
        <f>E17/$E$51</f>
        <v>2.0353495320835216E-6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2.0015560052358467E-3</v>
      </c>
      <c r="AG17" s="326">
        <f>KDEG.sd2R*M.sd2R*Molweight</f>
        <v>8.8908491704092538E-15</v>
      </c>
      <c r="AH17" s="325"/>
      <c r="AI17" s="325"/>
      <c r="AJ17" s="325"/>
      <c r="AK17" s="325"/>
      <c r="AL17" s="631"/>
      <c r="AM17" s="325">
        <f>k.w2R.sd2R*M.w2R*Molweight</f>
        <v>2.2719476949397032E-2</v>
      </c>
      <c r="AN17" s="326">
        <f>k.sd2R.w2R*M.sd2R*Molweight</f>
        <v>2.0717920944152295E-2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631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5514914.2004019087</v>
      </c>
      <c r="D19" s="122">
        <f>C19/$C$51</f>
        <v>6.9441723936102537E-4</v>
      </c>
      <c r="E19" s="318">
        <f>M.w1C*Molweight</f>
        <v>534971.20079804817</v>
      </c>
      <c r="F19" s="122">
        <f>E19/$E$51</f>
        <v>1.6922735567649787E-4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1.8602401153273544E-6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1.3825823428415739E-22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631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6.4596865968944697E-4</v>
      </c>
      <c r="E20" s="318">
        <f>FRw.w1C*E19</f>
        <v>497646.96203388175</v>
      </c>
      <c r="F20" s="122">
        <f>E20/$E$51</f>
        <v>1.5742058510777239E-4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1.7304536032317822E-6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1.2861213868156066E-22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631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384768.32785134809</v>
      </c>
      <c r="D21" s="122">
        <f>C21/$C$51</f>
        <v>4.8448579671578419E-5</v>
      </c>
      <c r="E21" s="318">
        <f>(1-FRw.w1C)*E19</f>
        <v>37324.238764166417</v>
      </c>
      <c r="F21" s="122">
        <f>E21/$E$51</f>
        <v>1.1806770568725473E-5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8.6522680161589104E-3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9.6460956025967388E-24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5.4813501877239937E-19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1.3974157879430597E-16</v>
      </c>
      <c r="AJ22" s="325">
        <f>SUM(AJ28:AJ30)</f>
        <v>7.2329176312779186E-2</v>
      </c>
      <c r="AK22" s="325">
        <f>SUM(AK28:AK30)</f>
        <v>4.1266172535880878E-17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1.5950151454019266E-2</v>
      </c>
      <c r="E23" s="318">
        <f>M.sd1C*Molweight</f>
        <v>12287816.592973731</v>
      </c>
      <c r="F23" s="122">
        <f>E23/$E$51</f>
        <v>3.8870030872030538E-3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3.2867749662808267E-3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2.5389108460002331E-22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631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1.2760121163215414E-2</v>
      </c>
      <c r="E24" s="318">
        <f>E23*FRACw.sdC</f>
        <v>9830253.2743789852</v>
      </c>
      <c r="F24" s="122">
        <f>E24/$E$51</f>
        <v>3.1096024697624429E-3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3.4160596867325517E-6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2.0311286768001865E-22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3.8862582042199438E-2</v>
      </c>
      <c r="AF24" s="330"/>
      <c r="AG24" s="326">
        <f>KDEG.w1C*M.w1C*Molweight</f>
        <v>2.0210746872571049E-15</v>
      </c>
      <c r="AH24" s="325">
        <f>k.aC.w1C*M.aC*Molweight</f>
        <v>2.0505694316543866E-3</v>
      </c>
      <c r="AI24" s="325">
        <f>k.w1C.aC*M.w1C*Molweight</f>
        <v>3.0052915259720424E-18</v>
      </c>
      <c r="AJ24" s="518"/>
      <c r="AK24" s="518"/>
      <c r="AL24" s="631">
        <f>SUM(AL28:AL30)*AREAFRAC.w1C/(AREAFRAC.w1C+AREAFRAC.w0C)</f>
        <v>6.5948289525886133E-2</v>
      </c>
      <c r="AM24" s="325">
        <f>k.w1C.sd1C*M.w1C*Molweight</f>
        <v>0.36455717186399217</v>
      </c>
      <c r="AN24" s="326">
        <f>k.sd1C.w1C*M.sd1C*Molweight</f>
        <v>0.32923918049797807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3.1900302908038527E-3</v>
      </c>
      <c r="E25" s="318">
        <f>E23*FRACs.sdC</f>
        <v>2457563.3185947458</v>
      </c>
      <c r="F25" s="122">
        <f>E25/$E$51</f>
        <v>7.7740061744061061E-4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8.5401492168313796E-3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5.077821692000465E-23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49.302324184565911</v>
      </c>
      <c r="AE25" s="325">
        <f>(k.w2C.w2M+k.w2C.w2R)*M.w2C*Molweight</f>
        <v>48.891936275622292</v>
      </c>
      <c r="AF25" s="330"/>
      <c r="AG25" s="326">
        <f>KDEG.w2C*M.w2C*Molweight</f>
        <v>6.1094995410843371E-12</v>
      </c>
      <c r="AH25" s="325">
        <f>k.aC.w2C*M.aC*Molweight</f>
        <v>7.9434147430745436E-2</v>
      </c>
      <c r="AI25" s="325">
        <f>k.w2C.aC*M.w2C*Molweight</f>
        <v>1.3627027725285976E-16</v>
      </c>
      <c r="AJ25" s="325"/>
      <c r="AK25" s="325"/>
      <c r="AL25" s="631"/>
      <c r="AM25" s="325">
        <f>k.w2C.sd2C*M.w2C*Molweight</f>
        <v>5.6482240997264759</v>
      </c>
      <c r="AN25" s="326">
        <f>k.sd2C.w2C*M.sd2C*Molweight</f>
        <v>5.1584020433582207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3.5317991365964169E-2</v>
      </c>
      <c r="AG26" s="326">
        <f>KDEG.sd1C*M.sd1C*Molweight</f>
        <v>4.9904042368144136E-14</v>
      </c>
      <c r="AH26" s="325"/>
      <c r="AI26" s="325"/>
      <c r="AJ26" s="325"/>
      <c r="AK26" s="325"/>
      <c r="AL26" s="631"/>
      <c r="AM26" s="325">
        <f>k.w1C.sd1C*M.w1C*Molweight</f>
        <v>0.36455717186399217</v>
      </c>
      <c r="AN26" s="326">
        <f>k.sd1C.w1C*M.sd1C*Molweight</f>
        <v>0.32923918049797807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0.4248151002339588</v>
      </c>
      <c r="AT26" s="75"/>
      <c r="AU26" s="285">
        <f>output!AD15</f>
        <v>0.42622346067584366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310116.96140179905</v>
      </c>
      <c r="D27" s="122">
        <f>C27/$C$51</f>
        <v>3.9048760577267531E-5</v>
      </c>
      <c r="E27" s="318">
        <f>M.w2C*Molweight</f>
        <v>1541945793.0523121</v>
      </c>
      <c r="F27" s="122">
        <f>E27/$E$51</f>
        <v>0.48776346981946783</v>
      </c>
      <c r="G27" s="318">
        <f>M.w2M*Molweight</f>
        <v>8048045460.3532991</v>
      </c>
      <c r="H27" s="122">
        <f>G27/$G$51</f>
        <v>3.1527710881690055E-2</v>
      </c>
      <c r="I27" s="318">
        <f>M.w2A*Molweight</f>
        <v>6447106704.620244</v>
      </c>
      <c r="J27" s="122">
        <f>I27/$I$51</f>
        <v>3.8165665377779809E-2</v>
      </c>
      <c r="K27" s="318">
        <f>M.w2T*Molweight</f>
        <v>18517613298.633816</v>
      </c>
      <c r="L27" s="123">
        <f>K27/$K$51</f>
        <v>2.9431644424093344E-2</v>
      </c>
      <c r="M27" s="320">
        <f>C.w2R*Molweight</f>
        <v>3.1011696140179869E-5</v>
      </c>
      <c r="N27" s="320">
        <f>C.w2C*Molweight</f>
        <v>2.0761857605978229E-6</v>
      </c>
      <c r="O27" s="320">
        <f>C.w2M*Molweight</f>
        <v>2.0750091619989023E-6</v>
      </c>
      <c r="P27" s="320">
        <f>C.w2A*Molweight</f>
        <v>2.5282771390667625E-6</v>
      </c>
      <c r="Q27" s="320">
        <f>C.w2T*Molweight</f>
        <v>2.0748026104911842E-6</v>
      </c>
      <c r="R27" s="120" t="s">
        <v>1489</v>
      </c>
      <c r="S27" s="325">
        <f>F.w2R</f>
        <v>2.3048757604840582E-21</v>
      </c>
      <c r="T27" s="325">
        <f>F.w2C</f>
        <v>1.5430791699471115E-22</v>
      </c>
      <c r="U27" s="325">
        <f>F.w2M</f>
        <v>1.5422046890486099E-22</v>
      </c>
      <c r="V27" s="325">
        <f>F.w2A</f>
        <v>2.724107395181813E-23</v>
      </c>
      <c r="W27" s="326">
        <f>F.w2T</f>
        <v>4.221807533902647E-22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0.48982205636604514</v>
      </c>
      <c r="AG27" s="326">
        <f>KDEG.sd2C*M.sd2C*Molweight</f>
        <v>2.2103285503969957E-12</v>
      </c>
      <c r="AH27" s="325"/>
      <c r="AI27" s="325"/>
      <c r="AJ27" s="325"/>
      <c r="AK27" s="325"/>
      <c r="AL27" s="631"/>
      <c r="AM27" s="325">
        <f>k.w2C.sd2C*M.w2C*Molweight</f>
        <v>5.6482240997264759</v>
      </c>
      <c r="AN27" s="326">
        <f>k.sd2C.w2C*M.sd2C*Molweight</f>
        <v>5.1584020433582207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1.970972387243908E-3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302552.70802526787</v>
      </c>
      <c r="D28" s="122">
        <f>C28/$C$51</f>
        <v>3.8096298262046872E-5</v>
      </c>
      <c r="E28" s="318">
        <f>FRw.w2C*E27</f>
        <v>1504335245.6678622</v>
      </c>
      <c r="F28" s="122">
        <f>E28/$E$51</f>
        <v>0.47586613128998911</v>
      </c>
      <c r="G28" s="318">
        <f>FRw.w2M*G27</f>
        <v>7851740637.8992996</v>
      </c>
      <c r="H28" s="122">
        <f>G28/$G$51</f>
        <v>3.0758699111378868E-2</v>
      </c>
      <c r="I28" s="318">
        <f>FRw.w2A*I27</f>
        <v>6289851363.1553974</v>
      </c>
      <c r="J28" s="122">
        <f>I28/$I$51</f>
        <v>3.723474318024355E-2</v>
      </c>
      <c r="K28" s="318">
        <f>FRw.w2T*K27</f>
        <v>18065938813.348225</v>
      </c>
      <c r="L28" s="123">
        <f>K28/$K$51</f>
        <v>2.871375909881E-2</v>
      </c>
      <c r="M28" s="320">
        <f>M27*FRw.w2R</f>
        <v>3.0255270802526752E-5</v>
      </c>
      <c r="N28" s="320">
        <f>N27*FRw.w2C</f>
        <v>2.0255442378674348E-6</v>
      </c>
      <c r="O28" s="320">
        <f>O27*FRw.w2M</f>
        <v>2.0243963384079761E-6</v>
      </c>
      <c r="P28" s="320">
        <f>P27*FRw.w2A</f>
        <v>2.4666083777079993E-6</v>
      </c>
      <c r="Q28" s="320">
        <f>Q27*FRw.w2T</f>
        <v>2.0241948250250114E-6</v>
      </c>
      <c r="R28" s="120" t="s">
        <v>1489</v>
      </c>
      <c r="S28" s="325">
        <f>S27*FRw.w2R</f>
        <v>2.2486561194334115E-21</v>
      </c>
      <c r="T28" s="325">
        <f>T27*FRw.w2C</f>
        <v>1.5054409776703454E-22</v>
      </c>
      <c r="U28" s="325">
        <f>U27*FRw.w2M</f>
        <v>1.5045878267728191E-22</v>
      </c>
      <c r="V28" s="325">
        <f>V27*FRw.w2A</f>
        <v>2.6576620177058614E-23</v>
      </c>
      <c r="W28" s="326">
        <f>W27*FRw.w2T</f>
        <v>4.1188308319865852E-22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631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7564.2533765311846</v>
      </c>
      <c r="D29" s="122">
        <f>C29/$C$51</f>
        <v>9.5246231522066053E-7</v>
      </c>
      <c r="E29" s="318">
        <f>(1-FRw.w2C)*E27</f>
        <v>37610547.384449974</v>
      </c>
      <c r="F29" s="122">
        <f>E29/$E$51</f>
        <v>1.1897338529478678E-2</v>
      </c>
      <c r="G29" s="318">
        <f>(1-FRw.w2M)*G27</f>
        <v>196304822.45399931</v>
      </c>
      <c r="H29" s="122">
        <f>G29/$G$51</f>
        <v>7.6901177031118517E-4</v>
      </c>
      <c r="I29" s="318">
        <f>(1-FRw.w2A)*I27</f>
        <v>157255341.46484646</v>
      </c>
      <c r="J29" s="122">
        <f>I29/$I$51</f>
        <v>9.3092219753625996E-4</v>
      </c>
      <c r="K29" s="318">
        <f>(1-FRw.w2T)*K27</f>
        <v>451674485.28559273</v>
      </c>
      <c r="L29" s="123">
        <f>K29/$K$51</f>
        <v>7.1788532528334575E-4</v>
      </c>
      <c r="M29" s="320">
        <f>M28*Kp.susp2R</f>
        <v>0.15127635401263376</v>
      </c>
      <c r="N29" s="320">
        <f>N28*Kp.susp2C</f>
        <v>1.0127721189337174E-2</v>
      </c>
      <c r="O29" s="320">
        <f>O28*Kp.susp2M</f>
        <v>1.0121981692039881E-2</v>
      </c>
      <c r="P29" s="320">
        <f>P28*Kp.susp2A</f>
        <v>1.2333041888539996E-2</v>
      </c>
      <c r="Q29" s="320">
        <f>Q28*Kp.susp2T</f>
        <v>1.0120974125125057E-2</v>
      </c>
      <c r="R29" s="120" t="s">
        <v>1494</v>
      </c>
      <c r="S29" s="325">
        <f>S27*(1-FRw.w2R)</f>
        <v>5.6219641050646762E-23</v>
      </c>
      <c r="T29" s="325">
        <f>T27*(1-FRw.w2C)</f>
        <v>3.7638192276766139E-24</v>
      </c>
      <c r="U29" s="325">
        <f>U27*(1-FRw.w2M)</f>
        <v>3.7616862275790695E-24</v>
      </c>
      <c r="V29" s="325">
        <f>V27*(1-FRw.w2A)</f>
        <v>6.6445377475951433E-25</v>
      </c>
      <c r="W29" s="326">
        <f>W27*(1-FRw.w2T)</f>
        <v>1.0297670191606176E-23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631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631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6.9441723936102537E-4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241438883551.46045</v>
      </c>
      <c r="H31" s="122">
        <f>G31/$G$51</f>
        <v>0.94582161019183897</v>
      </c>
      <c r="I31" s="318">
        <f>M.w3A*Molweight</f>
        <v>158734712305.63232</v>
      </c>
      <c r="J31" s="122">
        <f>I31/$I$51</f>
        <v>0.93967979610968133</v>
      </c>
      <c r="K31" s="318">
        <f>M.w3T*Molweight</f>
        <v>596614355808.45044</v>
      </c>
      <c r="L31" s="123">
        <f>K31/$K$51</f>
        <v>0.94825079751283647</v>
      </c>
      <c r="M31" s="320"/>
      <c r="N31" s="320"/>
      <c r="O31" s="320">
        <f>C.w3M*Molweight</f>
        <v>2.0749878460141207E-6</v>
      </c>
      <c r="P31" s="320">
        <f>C.w3A*Molweight</f>
        <v>2.074963559550749E-6</v>
      </c>
      <c r="Q31" s="320">
        <f>C.w3T*Molweight</f>
        <v>2.2282515623098059E-6</v>
      </c>
      <c r="R31" s="120" t="s">
        <v>1489</v>
      </c>
      <c r="S31" s="325"/>
      <c r="T31" s="325"/>
      <c r="U31" s="325">
        <f>F.w3M</f>
        <v>1.5421888464141369E-22</v>
      </c>
      <c r="V31" s="325">
        <f>F.w3A</f>
        <v>2.2356819551006163E-23</v>
      </c>
      <c r="W31" s="326">
        <f>F.w3T</f>
        <v>4.5340454005708184E-22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3.8794783982236361E-2</v>
      </c>
      <c r="BE31" s="75"/>
      <c r="BF31" s="277">
        <f>IF(ISERROR(output!D43),0,output!D43)</f>
        <v>0.92790403638853058</v>
      </c>
      <c r="BG31" s="75"/>
      <c r="BH31" s="273">
        <f>IF(ISERROR(output!D47),0,output!D47)</f>
        <v>1.4368438511939387E-2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235549799375.36526</v>
      </c>
      <c r="H32" s="122">
        <f>G32/$G$51</f>
        <v>0.92275149407774415</v>
      </c>
      <c r="I32" s="318">
        <f>FRw.w3A*I31</f>
        <v>154862916393.2027</v>
      </c>
      <c r="J32" s="122">
        <f>I32/$I$51</f>
        <v>0.91675948875709057</v>
      </c>
      <c r="K32" s="318">
        <f>FRw.w3T*K31</f>
        <v>582061968428.50342</v>
      </c>
      <c r="L32" s="123">
        <f>K32/$K$51</f>
        <v>0.92512142959802734</v>
      </c>
      <c r="M32" s="320"/>
      <c r="N32" s="320"/>
      <c r="O32" s="320">
        <f>O31*FRw.w3M</f>
        <v>2.0243755423544783E-6</v>
      </c>
      <c r="P32" s="320">
        <f>P31*FRw.w3A</f>
        <v>2.0243518482771588E-6</v>
      </c>
      <c r="Q32" s="320">
        <f>Q31*FRw.w3T</f>
        <v>2.173900909163412E-6</v>
      </c>
      <c r="R32" s="120" t="s">
        <v>1489</v>
      </c>
      <c r="S32" s="325"/>
      <c r="T32" s="325"/>
      <c r="U32" s="325">
        <f>U31*FRw.w3M</f>
        <v>1.5045723705657791E-22</v>
      </c>
      <c r="V32" s="325">
        <f>V31*FRw.w3A</f>
        <v>2.181150062677587E-23</v>
      </c>
      <c r="W32" s="326">
        <f>W31*FRw.w3T</f>
        <v>4.4234527129745492E-22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2.7476563352276759E-2</v>
      </c>
      <c r="AE32" s="325">
        <f>(k.aM.aA+k.aM.aC+k.aM.aT)*M.aM*Molweight</f>
        <v>3.5266150909565594E-3</v>
      </c>
      <c r="AF32" s="325">
        <f>kesc.aM*M.aM*Molweight</f>
        <v>1.1093274801834505E-6</v>
      </c>
      <c r="AG32" s="326">
        <f>KDEG.aM*M.aM*Molweight</f>
        <v>2.9860156520147719E-27</v>
      </c>
      <c r="AH32" s="325">
        <f>AH33</f>
        <v>1.197441946722737E-2</v>
      </c>
      <c r="AI32" s="325">
        <f>AI33</f>
        <v>1.4225005718975446E-15</v>
      </c>
      <c r="AJ32" s="325">
        <f>AJ36</f>
        <v>1.1974419466614077E-2</v>
      </c>
      <c r="AK32" s="325">
        <f>AK36</f>
        <v>6.8317999032917683E-18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5889084176.0951796</v>
      </c>
      <c r="H33" s="122">
        <f>G33/$G$51</f>
        <v>2.3070116114094867E-2</v>
      </c>
      <c r="I33" s="318">
        <f>(1-FRw.w3A)*I31</f>
        <v>3871795912.4296384</v>
      </c>
      <c r="J33" s="122">
        <f>I33/$I$51</f>
        <v>2.2920307352590867E-2</v>
      </c>
      <c r="K33" s="318">
        <f>(1-FRw.w3T)*K31</f>
        <v>14552387379.946993</v>
      </c>
      <c r="L33" s="123">
        <f>K33/$K$51</f>
        <v>2.3129367914809098E-2</v>
      </c>
      <c r="M33" s="320"/>
      <c r="N33" s="320"/>
      <c r="O33" s="320">
        <f>O32*Kp.susp3M</f>
        <v>1.0121877711772391E-2</v>
      </c>
      <c r="P33" s="320">
        <f>P32*Kp.susp3A</f>
        <v>1.0121759241385794E-2</v>
      </c>
      <c r="Q33" s="320">
        <f>Q32*Kp.susp3T</f>
        <v>1.086950454581706E-2</v>
      </c>
      <c r="R33" s="120" t="s">
        <v>1494</v>
      </c>
      <c r="S33" s="325"/>
      <c r="T33" s="325"/>
      <c r="U33" s="325">
        <f>U31*(1-FRw.w3M)</f>
        <v>3.7616475848357759E-24</v>
      </c>
      <c r="V33" s="325">
        <f>V31*(1-FRw.w3A)</f>
        <v>5.4531892423029437E-25</v>
      </c>
      <c r="W33" s="326">
        <f>W31*(1-FRw.w3T)</f>
        <v>1.1059268759626942E-23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2364.9297702741951</v>
      </c>
      <c r="AE33" s="325">
        <f>(k.w2M.w2C+k.w2M.w2A+k.w2M.w2T+k.w2M.w3M)*M.w2M*Molweight</f>
        <v>2364.9536552773175</v>
      </c>
      <c r="AF33" s="330"/>
      <c r="AG33" s="326">
        <f>KDEG.w2M*M.w2M*Molweight</f>
        <v>3.1887975743506718E-11</v>
      </c>
      <c r="AH33" s="325">
        <f>k.aM.w2M*M.aM*Molweight</f>
        <v>1.197441946722737E-2</v>
      </c>
      <c r="AI33" s="325">
        <f>k.w2M.aM*M.w2M*Molweight</f>
        <v>1.4225005718975446E-15</v>
      </c>
      <c r="AJ33" s="325"/>
      <c r="AK33" s="325"/>
      <c r="AL33" s="325">
        <f>AL36</f>
        <v>1.1910583687713298E-2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1.2287458105879616E-15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2316.1081684078054</v>
      </c>
      <c r="AE34" s="325">
        <f>(k.w3M.w2M+k.w3M.w3A+k.w3M.w3T)*M.w3M*Molweight</f>
        <v>2316.0912159777799</v>
      </c>
      <c r="AF34" s="330"/>
      <c r="AG34" s="326">
        <f>KDEG.w3M*M.w3M*Molweight</f>
        <v>9.5662944501935473E-10</v>
      </c>
      <c r="AH34" s="325"/>
      <c r="AI34" s="325"/>
      <c r="AJ34" s="325"/>
      <c r="AK34" s="325"/>
      <c r="AL34" s="325"/>
      <c r="AM34" s="325">
        <f>k.w3M.sdM*M.w3M*Molweight</f>
        <v>58.960175592465326</v>
      </c>
      <c r="AN34" s="326">
        <f>k.sdM.w3M*M.sdM*Molweight</f>
        <v>58.943223163397093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2189183.8572083274</v>
      </c>
      <c r="D35" s="122">
        <f>C35/$C$51</f>
        <v>2.756537917608111E-4</v>
      </c>
      <c r="E35" s="318">
        <f>M.sd2C*Molweight</f>
        <v>544246729.29560566</v>
      </c>
      <c r="F35" s="122">
        <f>E35/$E$51</f>
        <v>0.17216148214499202</v>
      </c>
      <c r="G35" s="318">
        <f>M.sdM*Molweight</f>
        <v>5681233987.5905085</v>
      </c>
      <c r="H35" s="122">
        <f>G35/$G$51</f>
        <v>2.225587609989987E-2</v>
      </c>
      <c r="I35" s="318">
        <f>M.sdA*Molweight</f>
        <v>3735144187.6147656</v>
      </c>
      <c r="J35" s="122">
        <f>I35/$I$51</f>
        <v>2.2111354710494323E-2</v>
      </c>
      <c r="K35" s="318">
        <f>M.sdT*Molweight</f>
        <v>14038773315.396833</v>
      </c>
      <c r="L35" s="123">
        <f>K35/$K$51</f>
        <v>2.2313036658978797E-2</v>
      </c>
      <c r="M35" s="320">
        <f>C.sd2R*(Molweight*1000)/(FRACw.sdR*1000+FRACs.sdR*RHOsolid)</f>
        <v>5.613291941559808E-2</v>
      </c>
      <c r="N35" s="320">
        <f>C.sd2C*(Molweight*1000)/(FRACw.sdC*1000+FRACs.sdC*RHOsolid)</f>
        <v>3.7580133464694084E-3</v>
      </c>
      <c r="O35" s="320">
        <f>C.sdM*(Molweight*1000)/(FRACw.sdM*1000+FRACs.sdM*RHOsolid)</f>
        <v>3.7558450534973058E-3</v>
      </c>
      <c r="P35" s="320">
        <f>C.sdA*(Molweight*1000)/(FRACw.sdA*1000+FRACs.sdA*RHOsolid)</f>
        <v>3.7558010936297294E-3</v>
      </c>
      <c r="Q35" s="320">
        <f>C.sdT*(Molweight*1000)/(FRACw.sdT*1000+FRACs.sdT*RHOsolid)</f>
        <v>4.0332610257550333E-3</v>
      </c>
      <c r="R35" s="120" t="s">
        <v>1495</v>
      </c>
      <c r="S35" s="325">
        <f>F.sd2R</f>
        <v>4.3360582754828686E-21</v>
      </c>
      <c r="T35" s="325">
        <f>F.sd2C</f>
        <v>2.9029248861418988E-22</v>
      </c>
      <c r="U35" s="325">
        <f>F.sdM</f>
        <v>2.9012499608425846E-22</v>
      </c>
      <c r="V35" s="325">
        <f>F.sdA</f>
        <v>4.2058871063526742E-23</v>
      </c>
      <c r="W35" s="326">
        <f>F.sdT</f>
        <v>8.5296940588329226E-22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1.6952429045162157E-2</v>
      </c>
      <c r="AG35" s="326">
        <f>KDEG.sdM*M.sdM*Molweight</f>
        <v>2.3072979603404409E-11</v>
      </c>
      <c r="AH35" s="325"/>
      <c r="AI35" s="325"/>
      <c r="AJ35" s="325"/>
      <c r="AK35" s="325"/>
      <c r="AL35" s="325"/>
      <c r="AM35" s="325">
        <f>k.w3M.sdM*M.w3M*Molweight</f>
        <v>58.960175592465326</v>
      </c>
      <c r="AN35" s="326">
        <f>k.sdM.w3M*M.sdM*Molweight</f>
        <v>58.943223163397093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1751347.0857666619</v>
      </c>
      <c r="D36" s="122">
        <f>C36/$C$51</f>
        <v>2.205230334086489E-4</v>
      </c>
      <c r="E36" s="318">
        <f>E35*FRACw.sdC</f>
        <v>435397383.43648458</v>
      </c>
      <c r="F36" s="122">
        <f>E36/$E$51</f>
        <v>0.13772918571599363</v>
      </c>
      <c r="G36" s="318">
        <f>G35*FRACw.sdM</f>
        <v>4544987190.0724068</v>
      </c>
      <c r="H36" s="122">
        <f>G36/$G$51</f>
        <v>1.7804700879919897E-2</v>
      </c>
      <c r="I36" s="318">
        <f>I35*FRACw.sdA</f>
        <v>2988115350.0918126</v>
      </c>
      <c r="J36" s="122">
        <f>I36/$I$51</f>
        <v>1.768908376839546E-2</v>
      </c>
      <c r="K36" s="318">
        <f>K35*FRACw.sdT</f>
        <v>11231018652.317467</v>
      </c>
      <c r="L36" s="123">
        <f>K36/$K$51</f>
        <v>1.7850429327183039E-2</v>
      </c>
      <c r="M36" s="320">
        <f>M37/Kp.sd2R</f>
        <v>5.8340898017490827E-5</v>
      </c>
      <c r="N36" s="320">
        <f>N37/Kp.sd2C</f>
        <v>3.9058341464744417E-6</v>
      </c>
      <c r="O36" s="320">
        <f>O37/Kp.sdM</f>
        <v>3.9035805640761902E-6</v>
      </c>
      <c r="P36" s="320">
        <f>P37/Kp.sdA</f>
        <v>3.9035348750548839E-6</v>
      </c>
      <c r="Q36" s="320">
        <f>Q37/Kp.sdT</f>
        <v>4.1919086452522747E-6</v>
      </c>
      <c r="R36" s="120" t="s">
        <v>1489</v>
      </c>
      <c r="S36" s="325">
        <f>S35*FRACw.sdR</f>
        <v>3.4688466203862951E-21</v>
      </c>
      <c r="T36" s="325">
        <f>T35*FRACw.sdC</f>
        <v>2.3223399089135192E-22</v>
      </c>
      <c r="U36" s="325">
        <f>U35*FRACw.sdM</f>
        <v>2.3209999686740679E-22</v>
      </c>
      <c r="V36" s="325">
        <f>V35*FRACw.sdA</f>
        <v>3.3647096850821398E-23</v>
      </c>
      <c r="W36" s="326">
        <f>W35*FRACw.sdT</f>
        <v>6.8237552470663385E-22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6.3835778491483085E-5</v>
      </c>
      <c r="AG36" s="326">
        <f>KDEG.sM*M.sM*Molweight</f>
        <v>4.0928534151671045E-13</v>
      </c>
      <c r="AH36" s="325"/>
      <c r="AI36" s="325"/>
      <c r="AJ36" s="325">
        <f>k.aM.sM*M.aM*Molweight</f>
        <v>1.1974419466614077E-2</v>
      </c>
      <c r="AK36" s="325">
        <f>k.sM.aM*M.sM*Molweight</f>
        <v>6.8317999032917683E-18</v>
      </c>
      <c r="AL36" s="325">
        <f>k.sM.w2M*M.sM*Molweight</f>
        <v>1.1910583687713298E-2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437836.77144166536</v>
      </c>
      <c r="D37" s="122">
        <f>C37/$C$51</f>
        <v>5.5130758352162211E-5</v>
      </c>
      <c r="E37" s="318">
        <f>E35*FRACs.sdC</f>
        <v>108849345.85912111</v>
      </c>
      <c r="F37" s="122">
        <f>E37/$E$51</f>
        <v>3.44322964289984E-2</v>
      </c>
      <c r="G37" s="318">
        <f>G35*FRACs.sdM</f>
        <v>1136246797.5181015</v>
      </c>
      <c r="H37" s="122">
        <f>G37/$G$51</f>
        <v>4.4511752199799734E-3</v>
      </c>
      <c r="I37" s="318">
        <f>I35*FRACs.sdA</f>
        <v>747028837.52295291</v>
      </c>
      <c r="J37" s="122">
        <f>I37/$I$51</f>
        <v>4.4222709420988632E-3</v>
      </c>
      <c r="K37" s="318">
        <f>K35*FRACs.sdT</f>
        <v>2807754663.0793662</v>
      </c>
      <c r="L37" s="123">
        <f>K37/$K$51</f>
        <v>4.4626073317957588E-3</v>
      </c>
      <c r="M37" s="320">
        <f>C.sd2R*FRACs.sdR/(FRACw.sdR/(Kp.sd2R*RHOsolid/1000)+FRACs.sdR)*(Molweight*1000)/(FRACs.sdR*RHOsolid)</f>
        <v>0.14585224504372707</v>
      </c>
      <c r="N37" s="320">
        <f>C.sd2C*FRACs.sdC/(FRACw.sdC/(Kp.sd2C*RHOsolid/1000)+FRACs.sdC)*(Molweight*1000)/(FRACs.sdC*RHOsolid)</f>
        <v>9.764585366186105E-3</v>
      </c>
      <c r="O37" s="320">
        <f>C.sdM*FRACs.sdM/(FRACw.sdM/(Kp.sdM*RHOsolid/1000)+FRACs.sdM)*(Molweight*1000)/(FRACs.sdM*RHOsolid)</f>
        <v>9.7589514101904754E-3</v>
      </c>
      <c r="P37" s="320">
        <f>C.sdA*FRACs.sdA/(FRACw.sdA/(Kp.sdA*RHOsolid/1000)+FRACs.sdA)*(Molweight*1000)/(FRACs.sdA*RHOsolid)</f>
        <v>9.758837187637209E-3</v>
      </c>
      <c r="Q37" s="320">
        <f>C.sdT*FRACs.sdT/(FRACw.sdT/(Kp.sdT*RHOsolid/1000)+FRACs.sdT)*(Molweight*1000)/(FRACs.sdT*RHOsolid)</f>
        <v>1.0479771613130687E-2</v>
      </c>
      <c r="R37" s="120" t="s">
        <v>1494</v>
      </c>
      <c r="S37" s="325">
        <f>S35*(1-FRACw.sdR)</f>
        <v>8.672116550965736E-22</v>
      </c>
      <c r="T37" s="325">
        <f>T35*(1-FRACw.sdC)</f>
        <v>5.8058497722837969E-23</v>
      </c>
      <c r="U37" s="325">
        <f>U35*(1-FRACw.sdM)</f>
        <v>5.8024999216851685E-23</v>
      </c>
      <c r="V37" s="325">
        <f>V35*(1-FRACw.sdA)</f>
        <v>8.4117742127053465E-24</v>
      </c>
      <c r="W37" s="326">
        <f>W35*(1-FRACw.sdT)</f>
        <v>1.7059388117665841E-22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3.9048760577267531E-5</v>
      </c>
      <c r="AW37" s="75"/>
      <c r="AX37" s="75"/>
      <c r="AY37" s="300">
        <f>IF(ISERROR(output!D23),0,output!D23)</f>
        <v>1.5950151454019266E-2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1.1486858875369747E-3</v>
      </c>
      <c r="AE38" s="325">
        <f>k.aA.aM*M.aA*Molweight</f>
        <v>9.1311400710016228E-5</v>
      </c>
      <c r="AF38" s="325">
        <f>kesc.aA*M.aA*Molweight</f>
        <v>4.8313891869407673E-8</v>
      </c>
      <c r="AG38" s="326">
        <f>KDEG.aA*M.aA*Molweight</f>
        <v>2.6661007520457896E-29</v>
      </c>
      <c r="AH38" s="325">
        <f>AH39</f>
        <v>6.3439570376430351E-4</v>
      </c>
      <c r="AI38" s="325">
        <f>AI39</f>
        <v>1.7901669927952308E-16</v>
      </c>
      <c r="AJ38" s="325">
        <f>AJ42</f>
        <v>4.2293046917096414E-4</v>
      </c>
      <c r="AK38" s="325">
        <f>AK42</f>
        <v>7.7685944253961252E-20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308099933.23614466</v>
      </c>
      <c r="D39" s="122">
        <f>C39/$C$51</f>
        <v>3.8794783982236361E-2</v>
      </c>
      <c r="E39" s="318">
        <f>M.s1C*Molweight</f>
        <v>169440126.44360128</v>
      </c>
      <c r="F39" s="122">
        <f>E39/$E$51</f>
        <v>5.359896850665518E-2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1735.9548890519786</v>
      </c>
      <c r="AE39" s="325">
        <f>(k.w2A.w2M+k.w2A.w3A)*M.w2A*Molweight</f>
        <v>1735.9559447279107</v>
      </c>
      <c r="AF39" s="330"/>
      <c r="AG39" s="326">
        <f>KDEG.w2A*M.w2A*Molweight</f>
        <v>5.5594956894282903E-12</v>
      </c>
      <c r="AH39" s="325">
        <f>k.aA.w2A*M.aA*Molweight</f>
        <v>6.3439570376430351E-4</v>
      </c>
      <c r="AI39" s="325">
        <f>k.w2A.aA*M.w2A*Molweight</f>
        <v>1.7901669927952308E-16</v>
      </c>
      <c r="AJ39" s="325"/>
      <c r="AK39" s="325"/>
      <c r="AL39" s="325">
        <f>AL42</f>
        <v>4.212802334308022E-4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41074.514496219788</v>
      </c>
      <c r="D40" s="122">
        <f>C40/$C$51</f>
        <v>5.1719482711953545E-6</v>
      </c>
      <c r="E40" s="318">
        <f>E39*FRw.s1C</f>
        <v>22589.004991814592</v>
      </c>
      <c r="F40" s="122">
        <f>E40/$E$51</f>
        <v>7.1455763907019294E-6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1735.9559447279107</v>
      </c>
      <c r="AE40" s="325">
        <f>(k.w3A.w2A+k.w3A.w3M)*M.w3A*Molweight</f>
        <v>1735.9480486847556</v>
      </c>
      <c r="AF40" s="330"/>
      <c r="AG40" s="326">
        <f>KDEG.w3A*M.w3A*Molweight</f>
        <v>1.3688077291994871E-10</v>
      </c>
      <c r="AH40" s="325"/>
      <c r="AI40" s="325"/>
      <c r="AJ40" s="325"/>
      <c r="AK40" s="325"/>
      <c r="AL40" s="325"/>
      <c r="AM40" s="325">
        <f>k.w3A.sdA*M.w3A*Molweight</f>
        <v>38.76354285810288</v>
      </c>
      <c r="AN40" s="326">
        <f>k.sdA.w3A*M.sdA*Molweight</f>
        <v>38.755646815085008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2.0717920944152295E-2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308058858.72164845</v>
      </c>
      <c r="D41" s="122">
        <f>C41/$C$51</f>
        <v>3.8789612033965165E-2</v>
      </c>
      <c r="E41" s="318">
        <f>E39*FRs.s1C</f>
        <v>169417537.43860948</v>
      </c>
      <c r="F41" s="122">
        <f>E41/$E$51</f>
        <v>5.3591822930264481E-2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7.896043014575355E-3</v>
      </c>
      <c r="AG41" s="326">
        <f>KDEG.sdA*M.sdA*Molweight</f>
        <v>3.3014322297148985E-12</v>
      </c>
      <c r="AH41" s="325"/>
      <c r="AI41" s="325"/>
      <c r="AJ41" s="325"/>
      <c r="AK41" s="325"/>
      <c r="AL41" s="325"/>
      <c r="AM41" s="325">
        <f>k.w3A.sdA*M.w3A*Molweight</f>
        <v>38.76354285810288</v>
      </c>
      <c r="AN41" s="326">
        <f>k.sdA.w3A*M.sdA*Molweight</f>
        <v>38.755646815085008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1.6502357337143389E-6</v>
      </c>
      <c r="AG42" s="326">
        <f>KDEG.sA*M.sA*Molweight</f>
        <v>6.4476292900900188E-15</v>
      </c>
      <c r="AH42" s="325"/>
      <c r="AI42" s="325"/>
      <c r="AJ42" s="325">
        <f>k.aA.sA*M.aA*Molweight</f>
        <v>4.2293046917096414E-4</v>
      </c>
      <c r="AK42" s="325">
        <f>k.sA.aA*M.sA*Molweight</f>
        <v>7.7685944253961252E-20</v>
      </c>
      <c r="AL42" s="325">
        <f>k.sA.w2A*M.sA*Molweight</f>
        <v>4.212802334308022E-4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2.2719476949397032E-2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7369216742.9456377</v>
      </c>
      <c r="D43" s="122">
        <f>C43/$C$51</f>
        <v>0.92790403638853058</v>
      </c>
      <c r="E43" s="318">
        <f>M.s2C*Molweight</f>
        <v>827447777.06446946</v>
      </c>
      <c r="F43" s="122">
        <f>E43/$E$51</f>
        <v>0.26174642497414857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2.756537917608111E-4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982431.24156054354</v>
      </c>
      <c r="D44" s="122">
        <f>C44/$C$51</f>
        <v>1.2370404431256239E-4</v>
      </c>
      <c r="E44" s="318">
        <f>E43*FRw.s2C</f>
        <v>110311.66205365543</v>
      </c>
      <c r="F44" s="122">
        <f>E44/$E$51</f>
        <v>3.4894870680462415E-5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1.9895823191513895E-3</v>
      </c>
      <c r="AE44" s="325">
        <f>k.aT.aM*M.aT*Molweight</f>
        <v>9.3700442569664619E-5</v>
      </c>
      <c r="AF44" s="325">
        <f>kesc.aT*M.aT*Molweight</f>
        <v>8.5871547144298376E-8</v>
      </c>
      <c r="AG44" s="326">
        <f>KDEG.aT*M.aT*Molweight</f>
        <v>3.9811981636812908E-28</v>
      </c>
      <c r="AH44" s="325">
        <f>AH45</f>
        <v>1.3270572035611052E-3</v>
      </c>
      <c r="AI44" s="325">
        <f>AI45</f>
        <v>8.5698906302003525E-15</v>
      </c>
      <c r="AJ44" s="325">
        <f>AJ48</f>
        <v>5.687388014820455E-4</v>
      </c>
      <c r="AK44" s="325">
        <f>AK48</f>
        <v>5.049007657541219E-19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8.8908491704092538E-15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7368234311.7040777</v>
      </c>
      <c r="D45" s="122">
        <f>C45/$C$51</f>
        <v>0.92778033234421808</v>
      </c>
      <c r="E45" s="318">
        <f>E43*FRs.s2C</f>
        <v>827337465.40241587</v>
      </c>
      <c r="F45" s="122">
        <f>E45/$E$51</f>
        <v>0.26171153010346815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4519.2430360331318</v>
      </c>
      <c r="AE45" s="325">
        <f>(k.w2T.w2M+k.w2T.w3T)*M.w2T*Molweight</f>
        <v>4519.2449284827535</v>
      </c>
      <c r="AF45" s="330"/>
      <c r="AG45" s="326">
        <f>KDEG.w2T*M.w2T*Molweight</f>
        <v>1.8065938813348222E-10</v>
      </c>
      <c r="AH45" s="325">
        <f>k.aT.w2T*M.aT*Molweight</f>
        <v>1.3270572035611052E-3</v>
      </c>
      <c r="AI45" s="325">
        <f>k.w2T.aT*M.w2T*Molweight</f>
        <v>8.5698906302003525E-15</v>
      </c>
      <c r="AJ45" s="325"/>
      <c r="AK45" s="325"/>
      <c r="AL45" s="325">
        <f>AL48</f>
        <v>5.6539259830461891E-4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4519.272713811195</v>
      </c>
      <c r="AE46" s="325">
        <f>(k.w3T.w2T+k.w3T.w3M)*M.w3T*Molweight</f>
        <v>4519.2430360331318</v>
      </c>
      <c r="AF46" s="330"/>
      <c r="AG46" s="326">
        <f>KDEG.w3T*M.w3T*Molweight</f>
        <v>5.8206196842850333E-9</v>
      </c>
      <c r="AH46" s="325"/>
      <c r="AI46" s="325"/>
      <c r="AJ46" s="325"/>
      <c r="AK46" s="325"/>
      <c r="AL46" s="325"/>
      <c r="AM46" s="325">
        <f>k.w3T.sdT*M.w3T*Molweight</f>
        <v>145.69520311733169</v>
      </c>
      <c r="AN46" s="326">
        <f>k.sdT.w3T*M.sdT*Molweight</f>
        <v>145.66552534508878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114111086.38375725</v>
      </c>
      <c r="D47" s="122">
        <f>C47/$C$51</f>
        <v>1.4368438511939387E-2</v>
      </c>
      <c r="E47" s="318">
        <f>M.s3C*Molweight</f>
        <v>62755602.386518985</v>
      </c>
      <c r="F47" s="122">
        <f>E47/$E$51</f>
        <v>1.9851469817279692E-2</v>
      </c>
      <c r="G47" s="318">
        <f>M.sM*Molweight</f>
        <v>100777872.33445284</v>
      </c>
      <c r="H47" s="122">
        <f>G47/$G$51</f>
        <v>3.9479096358049405E-4</v>
      </c>
      <c r="I47" s="318">
        <f>M.sA*Molweight</f>
        <v>7294659.8297594525</v>
      </c>
      <c r="J47" s="122">
        <f>I47/$I$51</f>
        <v>4.3183021293538604E-5</v>
      </c>
      <c r="K47" s="318">
        <f>M.sT*Molweight</f>
        <v>2844513.6182668526</v>
      </c>
      <c r="L47" s="123">
        <f>K47/$K$51</f>
        <v>4.5210315185973647E-6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3.0568621683056796E-5</v>
      </c>
      <c r="P47" s="320">
        <f>C.sA*(Molweight*1000)/(FRACw.sA*1000+(1-FRACa.sA-FRACw.sA)*RHOsolid)</f>
        <v>5.0482074946432187E-6</v>
      </c>
      <c r="Q47" s="320">
        <f>C.sT*(Molweight*1000)/(FRACw.sT*1000+(1-FRACa.sT-FRACw.sT)*RHOsolid)</f>
        <v>8.7489846005900845E-7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2.5745279913201086E-24</v>
      </c>
      <c r="V47" s="325">
        <f>F.sA</f>
        <v>6.1636292142218038E-26</v>
      </c>
      <c r="W47" s="326">
        <f>F.sT</f>
        <v>2.0173398018706132E-25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2.9677772102564063E-2</v>
      </c>
      <c r="AG47" s="326">
        <f>KDEG.sdT*M.sdT*Molweight</f>
        <v>1.4038773315396832E-10</v>
      </c>
      <c r="AH47" s="325"/>
      <c r="AI47" s="325"/>
      <c r="AJ47" s="325"/>
      <c r="AK47" s="325"/>
      <c r="AL47" s="325"/>
      <c r="AM47" s="325">
        <f>k.w3T.sdT*M.w3T*Molweight</f>
        <v>145.69520311733169</v>
      </c>
      <c r="AN47" s="326">
        <f>k.sdT.w3T*M.sdT*Molweight</f>
        <v>145.66552534508878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2.0015560052358467E-3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15212.783146748065</v>
      </c>
      <c r="D48" s="122">
        <f>C48/$C$51</f>
        <v>1.9155363967390197E-6</v>
      </c>
      <c r="E48" s="318">
        <f>E47*FRw.s3C</f>
        <v>8366.2981451165142</v>
      </c>
      <c r="F48" s="122">
        <f>E48/$E$51</f>
        <v>2.6465097743340474E-6</v>
      </c>
      <c r="G48" s="318">
        <f>G47*FRw.sM</f>
        <v>13435.258276823468</v>
      </c>
      <c r="H48" s="122">
        <f>G48/$G$51</f>
        <v>5.2631777573722708E-8</v>
      </c>
      <c r="I48" s="318">
        <f>I47*FRw.sA</f>
        <v>972.49164508191598</v>
      </c>
      <c r="J48" s="122">
        <f>I48/$I$51</f>
        <v>5.7569685766615918E-9</v>
      </c>
      <c r="K48" s="318">
        <f>K47*FRw.sT</f>
        <v>379.21792004624081</v>
      </c>
      <c r="L48" s="123">
        <f>K48/$K$51</f>
        <v>6.0272383930107509E-10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3.4639819264895714E-8</v>
      </c>
      <c r="P48" s="320">
        <f>P49/Kp.sA</f>
        <v>5.7205390887171529E-9</v>
      </c>
      <c r="Q48" s="320">
        <f>Q49/Kp.sT</f>
        <v>9.9141939881370109E-10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5.1490559826402176E-25</v>
      </c>
      <c r="V48" s="325">
        <f>V47*FRACw.sA</f>
        <v>1.2327258428443608E-26</v>
      </c>
      <c r="W48" s="326">
        <f>W47*FRACw.sT</f>
        <v>4.0346796037412265E-26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3.3462031489808707E-6</v>
      </c>
      <c r="AG48" s="326">
        <f>KDEG.sT*M.sT*Molweight</f>
        <v>2.8445136182668524E-14</v>
      </c>
      <c r="AH48" s="325"/>
      <c r="AI48" s="325"/>
      <c r="AJ48" s="325">
        <f>k.aT.sT*M.aT*Molweight</f>
        <v>5.687388014820455E-4</v>
      </c>
      <c r="AK48" s="325">
        <f>k.sT.aT*M.sT*Molweight</f>
        <v>5.049007657541219E-19</v>
      </c>
      <c r="AL48" s="333">
        <f>k.sT.w2T*M.sT*Molweight</f>
        <v>5.6539259830461891E-4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114095873.60061051</v>
      </c>
      <c r="D49" s="122">
        <f>C49/$C$51</f>
        <v>1.436652297554265E-2</v>
      </c>
      <c r="E49" s="318">
        <f>E47*FRs.s3C</f>
        <v>62747236.088373877</v>
      </c>
      <c r="F49" s="122">
        <f>E49/$E$51</f>
        <v>1.9848823307505363E-2</v>
      </c>
      <c r="G49" s="318">
        <f>G47*FRs.sM</f>
        <v>100764437.07617602</v>
      </c>
      <c r="H49" s="122">
        <f>G49/$G$51</f>
        <v>3.9473833180292032E-4</v>
      </c>
      <c r="I49" s="318">
        <f>I47*FRs.sA</f>
        <v>7293687.3381143715</v>
      </c>
      <c r="J49" s="122">
        <f>I49/$I$51</f>
        <v>4.3177264324961953E-5</v>
      </c>
      <c r="K49" s="318">
        <f>K47*FRs.sT</f>
        <v>2844134.4003468067</v>
      </c>
      <c r="L49" s="123">
        <f>K49/$K$51</f>
        <v>4.520428794758064E-6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3.4639819264895716E-5</v>
      </c>
      <c r="P49" s="320">
        <f>C.sA*FRs.sA*(Molweight*1000)/(FRACs.sA*RHOsolid)</f>
        <v>5.7205390887171532E-6</v>
      </c>
      <c r="Q49" s="320">
        <f>C.sT*FRs.sT*(Molweight*1000)/(FRACs.sT*RHOsolid)</f>
        <v>9.9141939881370115E-7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2.059622393056087E-24</v>
      </c>
      <c r="V49" s="325">
        <f>V47*(1-FRACw.sA)</f>
        <v>4.930903371377443E-26</v>
      </c>
      <c r="W49" s="326">
        <f>W47*(1-FRACw.sT)</f>
        <v>1.6138718414964906E-25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0.95129375217035661</v>
      </c>
      <c r="AG49" s="336">
        <f>SUM(AG11:AG48)</f>
        <v>7.344380621839747E-9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7941787570.6491814</v>
      </c>
      <c r="D51" s="130">
        <f>C51/SUM($C$51,$E$51,$G$51,$I$51,$K$51)</f>
        <v>7.4607915772327785E-3</v>
      </c>
      <c r="E51" s="317">
        <f>SUM(E11,E15,E19,E23,E27,E31,E35,E39,E43,E47)</f>
        <v>3161257224.9886217</v>
      </c>
      <c r="F51" s="130">
        <f>E51/SUM($C$51,$E$51,$G$51,$I$51,$K$51)</f>
        <v>2.9697950326482278E-3</v>
      </c>
      <c r="G51" s="317">
        <f>SUM(G11,G15,G19,G23,G27,G31,G35,G39,G43,G47)</f>
        <v>255268943899.99179</v>
      </c>
      <c r="H51" s="130">
        <f>G51/SUM($C$51,$E$51,$G$51,$I$51,$K$51)</f>
        <v>0.23980852794611907</v>
      </c>
      <c r="I51" s="317">
        <f>SUM(I11,I15,I19,I23,I27,I31,I35,I39,I43,I47)</f>
        <v>168924257989.58487</v>
      </c>
      <c r="J51" s="130">
        <f>I51/SUM($C$51,$E$51,$G$51,$I$51,$K$51)</f>
        <v>0.15869332565086111</v>
      </c>
      <c r="K51" s="317">
        <f>SUM(K11,K15,K19,K23,K27,K31,K35,K39,K43,K47)</f>
        <v>629173587170.51233</v>
      </c>
      <c r="L51" s="130">
        <f>K51/SUM($C$51,$E$51,$G$51,$I$51,$K$51)</f>
        <v>0.59106755979313885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5.3388830940555418E-8</v>
      </c>
      <c r="U51" s="328">
        <f>SUM(U11,U15,U19,U23,U27,U35,U39,U43,U47)</f>
        <v>7.5969979734067659E-10</v>
      </c>
      <c r="V51" s="328">
        <f>SUM(V11,V15,V19,V23,V27,V35,V39,V43,V47)</f>
        <v>5.5728405658003224E-11</v>
      </c>
      <c r="W51" s="328">
        <f>SUM(W11,W15,W19,W23,W27,W35,W39,W43,W47)</f>
        <v>3.7410468239116882E-11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3.1011696140179869E-5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5.613291941559808E-2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6.2478067873065377E-6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1.3627027725285976E-16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3.8862582042199438E-2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48.891936275622292</v>
      </c>
      <c r="AT90" s="81"/>
      <c r="AU90" s="278">
        <f>output!AD25</f>
        <v>49.302324184565911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8.1570648778988934E-4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1.6922735567649787E-4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2.0210746872571049E-15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0.32923918049797807</v>
      </c>
      <c r="AZ96" s="75"/>
      <c r="BA96" s="75"/>
      <c r="BB96" s="43"/>
      <c r="BC96" s="2"/>
      <c r="BD96" s="277">
        <f>IF(ISERROR(output!F39),0,output!F39)</f>
        <v>5.359896850665518E-2</v>
      </c>
      <c r="BE96" s="43"/>
      <c r="BF96" s="277">
        <f>IF(ISERROR(output!F47),0,output!F47)</f>
        <v>1.9851469817279692E-2</v>
      </c>
      <c r="BG96" s="43"/>
      <c r="BH96" s="277">
        <f>IF(ISERROR(output!F43),0,output!F43)</f>
        <v>0.26174642497414857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6.1094995410843371E-12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0.36455717186399217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4.9904042368144136E-14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0.48776346981946783</v>
      </c>
      <c r="AW101" s="56"/>
      <c r="AX101" s="307"/>
      <c r="AY101" s="276">
        <f>IF(ISERROR(output!F23),0,output!F23)</f>
        <v>3.8870030872030538E-3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5.1584020433582207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5.6482240997264759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0.17216148214499202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2.2103285503969957E-12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0.48982205636604514</v>
      </c>
      <c r="AW111" s="75"/>
      <c r="AX111" s="290">
        <f>output!AF26</f>
        <v>3.5317991365964169E-2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1.8602401153273544E-6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2.0761857605978229E-6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3.2867749662808267E-3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3.7580133464694084E-3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3.5266150909565594E-3</v>
      </c>
      <c r="AT136" s="81">
        <f>output!AD32</f>
        <v>2.7476563352276759E-2</v>
      </c>
      <c r="AU136" s="268">
        <f>output!AF32</f>
        <v>1.1093274801834505E-6</v>
      </c>
      <c r="AV136" s="221"/>
      <c r="AW136" s="221"/>
      <c r="AX136" s="221"/>
      <c r="AY136" s="279">
        <f>output!AE38</f>
        <v>9.1311400710016228E-5</v>
      </c>
      <c r="AZ136" s="266">
        <f>output!AD38</f>
        <v>1.1486858875369747E-3</v>
      </c>
      <c r="BA136" s="268">
        <f>output!AF38</f>
        <v>4.8313891869407673E-8</v>
      </c>
      <c r="BB136" s="75"/>
      <c r="BC136" s="75"/>
      <c r="BD136" s="75"/>
      <c r="BE136" s="279">
        <f>output!AE44</f>
        <v>9.3700442569664619E-5</v>
      </c>
      <c r="BF136" s="266">
        <f>output!AD44</f>
        <v>1.9895823191513895E-3</v>
      </c>
      <c r="BG136" s="268">
        <f>output!AF44</f>
        <v>8.5871547144298376E-8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2.9860156520147719E-27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2.6661007520457896E-29</v>
      </c>
      <c r="BB141" s="47" t="s">
        <v>446</v>
      </c>
      <c r="BC141" s="75"/>
      <c r="BD141" s="75"/>
      <c r="BE141" s="2"/>
      <c r="BF141" s="202"/>
      <c r="BG141" s="269">
        <f>output!AG44</f>
        <v>3.9811981636812908E-28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1.1862990595044001E-8</v>
      </c>
      <c r="AW142" s="221"/>
      <c r="AX142" s="221"/>
      <c r="AY142" s="203"/>
      <c r="AZ142" s="202"/>
      <c r="BA142" s="75"/>
      <c r="BB142" s="277">
        <f>IF(ISERROR(output!J11),0,output!J11)</f>
        <v>7.8075073063758778E-10</v>
      </c>
      <c r="BC142" s="75"/>
      <c r="BD142" s="75"/>
      <c r="BE142" s="203"/>
      <c r="BF142" s="75"/>
      <c r="BG142" s="75"/>
      <c r="BH142" s="277">
        <f>IF(ISERROR(output!L11),0,output!L11)</f>
        <v>3.7257284775813123E-10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6.8317999032917683E-18</v>
      </c>
      <c r="AY144" s="2"/>
      <c r="AZ144" s="75"/>
      <c r="BA144" s="75"/>
      <c r="BB144" s="75"/>
      <c r="BC144" s="75"/>
      <c r="BD144" s="270">
        <f>k.sA.aA*M.sA*Molweight</f>
        <v>7.7685944253961252E-20</v>
      </c>
      <c r="BE144" s="2"/>
      <c r="BF144" s="75"/>
      <c r="BG144" s="75"/>
      <c r="BH144" s="75"/>
      <c r="BI144" s="75"/>
      <c r="BJ144" s="270">
        <f>k.sT.aT*M.sT*Molweight</f>
        <v>5.049007657541219E-19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1.4225005718975446E-15</v>
      </c>
      <c r="AV145" s="221"/>
      <c r="AW145" s="221"/>
      <c r="AX145" s="221"/>
      <c r="AY145" s="2"/>
      <c r="AZ145" s="75"/>
      <c r="BA145" s="270">
        <f>k.w2A.aA*M.w2A*Molweight</f>
        <v>1.7901669927952308E-16</v>
      </c>
      <c r="BB145" s="75"/>
      <c r="BC145" s="75"/>
      <c r="BD145" s="221"/>
      <c r="BE145" s="2"/>
      <c r="BF145" s="75"/>
      <c r="BG145" s="270">
        <f>k.w2T.aT*M.w2T*Molweight</f>
        <v>8.5698906302003525E-15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1.1974419466614077E-2</v>
      </c>
      <c r="AY146" s="2"/>
      <c r="AZ146" s="75"/>
      <c r="BA146" s="221"/>
      <c r="BB146" s="75"/>
      <c r="BC146" s="75"/>
      <c r="BD146" s="270">
        <f>IF(output!AJ42&lt;0,"",output!AJ42)</f>
        <v>4.2293046917096414E-4</v>
      </c>
      <c r="BE146" s="2"/>
      <c r="BF146" s="75"/>
      <c r="BG146" s="221"/>
      <c r="BH146" s="75"/>
      <c r="BI146" s="75"/>
      <c r="BJ146" s="270">
        <f>IF(output!AJ48&lt;0,"",output!AJ48)</f>
        <v>5.687388014820455E-4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2364.9536552773175</v>
      </c>
      <c r="AT147" s="81">
        <f>output!AD33</f>
        <v>2364.9297702741951</v>
      </c>
      <c r="AU147" s="270">
        <f>IF(output!AH33&lt;0,"",output!AH33)</f>
        <v>1.197441946722737E-2</v>
      </c>
      <c r="AV147" s="272">
        <f>output!AL33</f>
        <v>1.1910583687713298E-2</v>
      </c>
      <c r="AW147" s="221"/>
      <c r="AX147" s="221"/>
      <c r="AY147" s="279">
        <f>output!AE39</f>
        <v>1735.9559447279107</v>
      </c>
      <c r="AZ147" s="266">
        <f>output!AD39</f>
        <v>1735.9548890519786</v>
      </c>
      <c r="BA147" s="270">
        <f>IF(output!AH39&lt;0,"",output!AH39)</f>
        <v>6.3439570376430351E-4</v>
      </c>
      <c r="BB147" s="272">
        <f>output!AL39</f>
        <v>4.212802334308022E-4</v>
      </c>
      <c r="BC147" s="75"/>
      <c r="BD147" s="75"/>
      <c r="BE147" s="279">
        <f>output!AE45</f>
        <v>4519.2449284827535</v>
      </c>
      <c r="BF147" s="266">
        <f>output!AD45</f>
        <v>4519.2430360331318</v>
      </c>
      <c r="BG147" s="270">
        <f>IF(output!AH45&lt;0,"",output!AH45)</f>
        <v>1.3270572035611052E-3</v>
      </c>
      <c r="BH147" s="272">
        <f>output!AL45</f>
        <v>5.6539259830461891E-4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3.1527710881690055E-2</v>
      </c>
      <c r="AW150" s="221"/>
      <c r="AX150" s="221"/>
      <c r="AY150" s="2"/>
      <c r="AZ150" s="75"/>
      <c r="BA150" s="59"/>
      <c r="BB150" s="273">
        <f>IF(ISERROR(output!J27),0,output!J27)</f>
        <v>3.8165665377779809E-2</v>
      </c>
      <c r="BC150" s="78"/>
      <c r="BD150" s="75"/>
      <c r="BE150" s="2"/>
      <c r="BF150" s="75"/>
      <c r="BG150" s="59"/>
      <c r="BH150" s="273">
        <f>IF(ISERROR(output!L27),0,output!L27)</f>
        <v>2.9431644424093344E-2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4.0928534151671045E-13</v>
      </c>
      <c r="AY151" s="2"/>
      <c r="AZ151" s="75"/>
      <c r="BA151" s="59"/>
      <c r="BB151" s="49"/>
      <c r="BC151" s="75"/>
      <c r="BD151" s="274">
        <f>output!AJ42</f>
        <v>4.2293046917096414E-4</v>
      </c>
      <c r="BE151" s="2"/>
      <c r="BF151" s="75"/>
      <c r="BG151" s="59"/>
      <c r="BH151" s="59"/>
      <c r="BI151" s="75"/>
      <c r="BJ151" s="274">
        <f>output!AG48</f>
        <v>2.8445136182668524E-14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3.1887975743506718E-11</v>
      </c>
      <c r="AW152" s="221"/>
      <c r="AX152" s="221"/>
      <c r="AY152" s="2"/>
      <c r="AZ152" s="75"/>
      <c r="BA152" s="59"/>
      <c r="BB152" s="257">
        <f>output!AG39</f>
        <v>5.5594956894282903E-12</v>
      </c>
      <c r="BC152" s="2"/>
      <c r="BD152" s="75"/>
      <c r="BE152" s="2"/>
      <c r="BF152" s="75"/>
      <c r="BG152" s="59"/>
      <c r="BH152" s="257">
        <f>output!AG45</f>
        <v>1.8065938813348222E-10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2004.8430390756623</v>
      </c>
      <c r="AU153" s="224"/>
      <c r="AV153" s="225"/>
      <c r="AW153" s="221"/>
      <c r="AX153" s="221"/>
      <c r="AY153" s="2"/>
      <c r="AZ153" s="275">
        <f>k.w3A.w2A*M.w3A*Molweight</f>
        <v>1424.7035147521433</v>
      </c>
      <c r="BA153" s="59"/>
      <c r="BB153" s="49"/>
      <c r="BC153" s="2"/>
      <c r="BD153" s="75"/>
      <c r="BE153" s="2"/>
      <c r="BF153" s="275">
        <f>k.w3T.w2T*M.w3T*Molweight</f>
        <v>4519.2430360331318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2004.8636344751928</v>
      </c>
      <c r="AU155" s="221"/>
      <c r="AV155" s="223" t="s">
        <v>2166</v>
      </c>
      <c r="AW155" s="221"/>
      <c r="AX155" s="271">
        <f>IF(ISERROR(output!H47),0,output!H47)</f>
        <v>3.9479096358049405E-4</v>
      </c>
      <c r="AY155" s="2"/>
      <c r="AZ155" s="275">
        <f>k.w2A.w3A*M.w2A*Molweight</f>
        <v>1735.9559447279107</v>
      </c>
      <c r="BA155" s="75"/>
      <c r="BB155" s="223" t="s">
        <v>2166</v>
      </c>
      <c r="BC155" s="47"/>
      <c r="BD155" s="271">
        <f>IF(ISERROR(output!J47),0,output!J47)</f>
        <v>4.3183021293538604E-5</v>
      </c>
      <c r="BE155" s="2"/>
      <c r="BF155" s="275">
        <f>k.w2T.w3T*M.w2T*Molweight</f>
        <v>4208.0245369090771</v>
      </c>
      <c r="BG155" s="75"/>
      <c r="BH155" s="223" t="s">
        <v>2166</v>
      </c>
      <c r="BI155" s="47"/>
      <c r="BJ155" s="271">
        <f>IF(ISERROR(output!L47),0,output!L47)</f>
        <v>4.5210315185973647E-6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0.94582161019183897</v>
      </c>
      <c r="AW156" s="221"/>
      <c r="AX156" s="221"/>
      <c r="AY156" s="203"/>
      <c r="AZ156" s="2"/>
      <c r="BA156" s="75"/>
      <c r="BB156" s="273">
        <f>IF(ISERROR(output!J31),0,output!J31)</f>
        <v>0.93967979610968133</v>
      </c>
      <c r="BC156" s="75"/>
      <c r="BD156" s="75"/>
      <c r="BE156" s="203"/>
      <c r="BF156" s="2"/>
      <c r="BG156" s="75"/>
      <c r="BH156" s="273">
        <f>IF(ISERROR(output!L31),0,output!L31)</f>
        <v>0.94825079751283647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2316.0912159777799</v>
      </c>
      <c r="AT157" s="266">
        <f>output!AD34</f>
        <v>2316.1081684078054</v>
      </c>
      <c r="AU157" s="221"/>
      <c r="AV157" s="225"/>
      <c r="AW157" s="226"/>
      <c r="AX157" s="221"/>
      <c r="AY157" s="279">
        <f>output!AE40</f>
        <v>1735.9480486847556</v>
      </c>
      <c r="AZ157" s="266">
        <f>output!AD40</f>
        <v>1735.9559447279107</v>
      </c>
      <c r="BA157" s="75"/>
      <c r="BB157" s="2"/>
      <c r="BC157" s="76"/>
      <c r="BD157" s="75"/>
      <c r="BE157" s="279">
        <f>output!AE46</f>
        <v>4519.2430360331318</v>
      </c>
      <c r="BF157" s="266">
        <f>output!AD46</f>
        <v>4519.272713811195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9.5662944501935473E-10</v>
      </c>
      <c r="AW158" s="226"/>
      <c r="AX158" s="221"/>
      <c r="AY158" s="2"/>
      <c r="AZ158" s="75"/>
      <c r="BA158" s="75"/>
      <c r="BB158" s="274">
        <f>output!AG40</f>
        <v>1.3688077291994871E-10</v>
      </c>
      <c r="BC158" s="2"/>
      <c r="BD158" s="75"/>
      <c r="BE158" s="2"/>
      <c r="BF158" s="75"/>
      <c r="BG158" s="75"/>
      <c r="BH158" s="274">
        <f>output!AG46</f>
        <v>5.8206196842850333E-9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58.943223163397093</v>
      </c>
      <c r="AU159" s="221"/>
      <c r="AV159" s="221"/>
      <c r="AW159" s="226"/>
      <c r="AX159" s="221"/>
      <c r="AY159" s="2"/>
      <c r="AZ159" s="272">
        <f>k.sdA.w3A*M.sdA*Molweight</f>
        <v>38.755646815085008</v>
      </c>
      <c r="BA159" s="2"/>
      <c r="BB159" s="75"/>
      <c r="BC159" s="2"/>
      <c r="BD159" s="75"/>
      <c r="BE159" s="2"/>
      <c r="BF159" s="275">
        <f>k.sdT.w3T*M.sdT*Molweight</f>
        <v>145.66552534508878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58.960175592465326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38.76354285810288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145.69520311733169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2.225587609989987E-2</v>
      </c>
      <c r="AW162" s="221"/>
      <c r="AX162" s="221"/>
      <c r="AY162" s="2"/>
      <c r="AZ162" s="75"/>
      <c r="BA162" s="47"/>
      <c r="BB162" s="276">
        <f>IF(ISERROR(output!J35),0,output!J35)</f>
        <v>2.2111354710494323E-2</v>
      </c>
      <c r="BC162" s="75"/>
      <c r="BD162" s="75"/>
      <c r="BE162" s="2"/>
      <c r="BF162" s="75"/>
      <c r="BG162" s="47"/>
      <c r="BH162" s="276">
        <f>IF(ISERROR(output!L35),0,output!L35)</f>
        <v>2.2313036658978797E-2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2.3072979603404409E-11</v>
      </c>
      <c r="AV164" s="269">
        <f>output!AF35</f>
        <v>1.6952429045162157E-2</v>
      </c>
      <c r="AW164" s="221"/>
      <c r="AX164" s="274">
        <f>output!AF36</f>
        <v>6.3835778491483085E-5</v>
      </c>
      <c r="AY164" s="2"/>
      <c r="AZ164" s="2"/>
      <c r="BA164" s="269">
        <f>output!AG41</f>
        <v>3.3014322297148985E-12</v>
      </c>
      <c r="BB164" s="269">
        <f>output!AF41</f>
        <v>7.896043014575355E-3</v>
      </c>
      <c r="BC164" s="75"/>
      <c r="BD164" s="274">
        <f>output!AF42</f>
        <v>1.6502357337143389E-6</v>
      </c>
      <c r="BE164" s="2"/>
      <c r="BF164" s="2"/>
      <c r="BG164" s="269">
        <f>output!AG47</f>
        <v>1.4038773315396832E-10</v>
      </c>
      <c r="BH164" s="269">
        <f>output!AF47</f>
        <v>2.9677772102564063E-2</v>
      </c>
      <c r="BI164" s="75"/>
      <c r="BJ164" s="274">
        <f>output!AF48</f>
        <v>3.3462031489808707E-6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3028.2530806924174</v>
      </c>
      <c r="BA172" s="128">
        <f>output!I11</f>
        <v>131.88773784778076</v>
      </c>
      <c r="BB172" s="128">
        <f>output!K11</f>
        <v>234.4129951063166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8048045460.3532991</v>
      </c>
      <c r="BA173" s="128">
        <f>output!I27</f>
        <v>6447106704.620244</v>
      </c>
      <c r="BB173" s="128">
        <f>output!K27</f>
        <v>18517613298.633816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241438883551.46045</v>
      </c>
      <c r="BA174" s="128">
        <f>output!I31</f>
        <v>158734712305.63232</v>
      </c>
      <c r="BB174" s="128">
        <f>output!K31</f>
        <v>596614355808.45044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5681233987.5905085</v>
      </c>
      <c r="BA175" s="128">
        <f>output!I35</f>
        <v>3735144187.6147656</v>
      </c>
      <c r="BB175" s="128">
        <f>output!K35</f>
        <v>14038773315.396833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100777872.33445284</v>
      </c>
      <c r="BA176" s="128">
        <f>output!I47</f>
        <v>7294659.8297594525</v>
      </c>
      <c r="BB176" s="128">
        <f>output!K47</f>
        <v>2844513.6182668526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35482.327795190889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106446.98338557268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106446.98338557268</v>
      </c>
      <c r="G11" s="508">
        <f>2*Scale*(M.tot/Emis.tot)/(3600*24*365)</f>
        <v>212893.96677114535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1003" activePane="bottomLeft" state="frozen"/>
      <selection pane="bottomLeft" activeCell="B1033" sqref="B1033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9.4637647157566862E-9</v>
      </c>
      <c r="L150" s="664">
        <f t="shared" si="7"/>
        <v>9.4637647157566862E-9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3" transitionEvaluation="1" transitionEntry="1" codeName="Sheet3"/>
  <dimension ref="A1:O225"/>
  <sheetViews>
    <sheetView tabSelected="1" topLeftCell="A133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2.6793953018979758E-8</v>
      </c>
      <c r="L155" s="664">
        <f t="shared" si="6"/>
        <v>2.6793953018979758E-8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9.47805795734319E-9</v>
      </c>
      <c r="L156" s="664">
        <f t="shared" si="6"/>
        <v>9.47805795734319E-9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2.6235185185185189E-10</v>
      </c>
      <c r="L160" s="664">
        <f t="shared" si="6"/>
        <v>2.6235185185185189E-10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2.7E-11</v>
      </c>
      <c r="L165" s="664">
        <f t="shared" si="6"/>
        <v>2.7E-11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9.0000000000406135E-10</v>
      </c>
      <c r="L198" s="664">
        <f t="shared" si="11"/>
        <v>9.0000000000406135E-10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9.4637647157566862E-9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9.47805795734319E-9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8742360659130.4756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2546952.7053367202</v>
      </c>
      <c r="H45" s="370">
        <v>1040347524.3717327</v>
      </c>
      <c r="I45" s="370">
        <v>17979499.484299667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4393653.0945963217</v>
      </c>
      <c r="P45" s="370">
        <v>12663812360.810711</v>
      </c>
      <c r="Q45" s="370">
        <v>100918336.01325338</v>
      </c>
      <c r="R45" s="370">
        <v>4469831876.6064854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24870.672476120377</v>
      </c>
      <c r="W45" s="370">
        <v>66097613833.387802</v>
      </c>
      <c r="X45" s="370">
        <v>1982908044936.4358</v>
      </c>
      <c r="Y45" s="370">
        <v>46659280449.987747</v>
      </c>
      <c r="Z45" s="370">
        <v>827676349.65877819</v>
      </c>
      <c r="AA45" s="370">
        <v>1083.1778732570692</v>
      </c>
      <c r="AB45" s="370">
        <v>52949299479.46981</v>
      </c>
      <c r="AC45" s="370">
        <v>1303668793574.5098</v>
      </c>
      <c r="AD45" s="370">
        <v>30676282749.792751</v>
      </c>
      <c r="AE45" s="370">
        <v>59910149.718786567</v>
      </c>
      <c r="AF45" s="370">
        <v>1925.2052817535857</v>
      </c>
      <c r="AG45" s="370">
        <v>152082895028.20151</v>
      </c>
      <c r="AH45" s="370">
        <v>4899920793433.3965</v>
      </c>
      <c r="AI45" s="370">
        <v>115298729594.25783</v>
      </c>
      <c r="AJ45" s="371">
        <v>23361642.725581903</v>
      </c>
    </row>
    <row r="46" spans="1:36" ht="12.75" customHeight="1" x14ac:dyDescent="0.2">
      <c r="B46" s="255" t="s">
        <v>2410</v>
      </c>
      <c r="C46" s="531">
        <f>SUM(D46:AJ46)</f>
        <v>17199838364675.111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2546952.7053367202</v>
      </c>
      <c r="H46" s="383">
        <f t="shared" si="0"/>
        <v>1040347524.3717327</v>
      </c>
      <c r="I46" s="383">
        <f t="shared" si="0"/>
        <v>17979499.484299667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4393653.0945963217</v>
      </c>
      <c r="P46" s="383">
        <f t="shared" si="0"/>
        <v>12663812360.810711</v>
      </c>
      <c r="Q46" s="383">
        <f t="shared" si="0"/>
        <v>100918336.01325338</v>
      </c>
      <c r="R46" s="383">
        <f t="shared" si="0"/>
        <v>4469831876.6064854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24870.672476120377</v>
      </c>
      <c r="W46" s="383">
        <f>SUM(W45:X45)</f>
        <v>2049005658769.8235</v>
      </c>
      <c r="X46" s="383">
        <f>SUM(W45:X45)</f>
        <v>2049005658769.8235</v>
      </c>
      <c r="Y46" s="383">
        <f t="shared" si="0"/>
        <v>46659280449.987747</v>
      </c>
      <c r="Z46" s="383">
        <f t="shared" si="0"/>
        <v>827676349.65877819</v>
      </c>
      <c r="AA46" s="383">
        <f t="shared" si="0"/>
        <v>1083.1778732570692</v>
      </c>
      <c r="AB46" s="383">
        <f>SUM(AB45:AC45)</f>
        <v>1356618093053.9795</v>
      </c>
      <c r="AC46" s="383">
        <f>SUM(AB45:AC45)</f>
        <v>1356618093053.9795</v>
      </c>
      <c r="AD46" s="383">
        <f t="shared" si="0"/>
        <v>30676282749.792751</v>
      </c>
      <c r="AE46" s="383">
        <f t="shared" si="0"/>
        <v>59910149.718786567</v>
      </c>
      <c r="AF46" s="383">
        <f t="shared" si="0"/>
        <v>1925.2052817535857</v>
      </c>
      <c r="AG46" s="383">
        <f>SUM(AG45:AH45)</f>
        <v>5052003688461.5977</v>
      </c>
      <c r="AH46" s="383">
        <f>SUM(AG45:AH45)</f>
        <v>5052003688461.5977</v>
      </c>
      <c r="AI46" s="383">
        <f t="shared" si="0"/>
        <v>115298729594.25783</v>
      </c>
      <c r="AJ46" s="384">
        <f t="shared" si="0"/>
        <v>23361642.725581903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8.5351771064934123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3.8724563634915188</v>
      </c>
      <c r="Q48" s="515" t="str">
        <f t="shared" si="1"/>
        <v/>
      </c>
      <c r="R48" s="515">
        <f t="shared" si="1"/>
        <v>6.1719455349118517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5.6618392169486649</v>
      </c>
      <c r="X48" s="515">
        <f t="shared" si="1"/>
        <v>5.6618392169486649</v>
      </c>
      <c r="Y48" s="515">
        <f t="shared" si="1"/>
        <v>7.4717302198147202</v>
      </c>
      <c r="Z48" s="515" t="str">
        <f t="shared" si="1"/>
        <v/>
      </c>
      <c r="AA48" s="515" t="str">
        <f t="shared" si="1"/>
        <v/>
      </c>
      <c r="AB48" s="515">
        <f t="shared" si="1"/>
        <v>4.8266090207328789</v>
      </c>
      <c r="AC48" s="515">
        <f t="shared" si="1"/>
        <v>4.8266090207328789</v>
      </c>
      <c r="AD48" s="515">
        <f t="shared" si="1"/>
        <v>6.5963852660539937</v>
      </c>
      <c r="AE48" s="515" t="str">
        <f t="shared" si="1"/>
        <v/>
      </c>
      <c r="AF48" s="515" t="str">
        <f t="shared" si="1"/>
        <v/>
      </c>
      <c r="AG48" s="515">
        <f t="shared" si="1"/>
        <v>6.6619865199229684</v>
      </c>
      <c r="AH48" s="515">
        <f t="shared" si="1"/>
        <v>6.6619865199229684</v>
      </c>
      <c r="AI48" s="515">
        <f t="shared" si="1"/>
        <v>8.5351771064934123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1.8633210063780694E-8</v>
      </c>
      <c r="E49" s="151">
        <f t="shared" si="2"/>
        <v>1.4705014185707731E-5</v>
      </c>
      <c r="F49" s="151">
        <f t="shared" si="2"/>
        <v>5.180902290509976E-6</v>
      </c>
      <c r="G49" s="151">
        <f t="shared" si="2"/>
        <v>2.9133466401625698E-7</v>
      </c>
      <c r="H49" s="151">
        <f t="shared" si="2"/>
        <v>1.1900075562373411E-4</v>
      </c>
      <c r="I49" s="151">
        <f t="shared" si="2"/>
        <v>2.0565954878013378E-6</v>
      </c>
      <c r="J49" s="151">
        <f t="shared" si="2"/>
        <v>2.8943979757523411E-4</v>
      </c>
      <c r="K49" s="151">
        <f t="shared" si="2"/>
        <v>6.9228986191678466E-3</v>
      </c>
      <c r="L49" s="151">
        <f t="shared" si="2"/>
        <v>1.0719992502786446E-4</v>
      </c>
      <c r="M49" s="151">
        <f t="shared" si="2"/>
        <v>1.855470556188884E-8</v>
      </c>
      <c r="N49" s="151">
        <f t="shared" si="2"/>
        <v>2.4224810755373456E-6</v>
      </c>
      <c r="O49" s="151">
        <f t="shared" si="2"/>
        <v>5.0257056027625831E-7</v>
      </c>
      <c r="P49" s="151">
        <f t="shared" si="2"/>
        <v>1.4485575297771194E-3</v>
      </c>
      <c r="Q49" s="151">
        <f t="shared" si="2"/>
        <v>1.1543602460263956E-5</v>
      </c>
      <c r="R49" s="151">
        <f t="shared" si="2"/>
        <v>5.1128431448755392E-4</v>
      </c>
      <c r="S49" s="151">
        <f t="shared" si="2"/>
        <v>1.5917795042613337E-4</v>
      </c>
      <c r="T49" s="151">
        <f t="shared" si="2"/>
        <v>7.7733323270165857E-4</v>
      </c>
      <c r="U49" s="151">
        <f t="shared" si="2"/>
        <v>5.8954796454123456E-5</v>
      </c>
      <c r="V49" s="151">
        <f t="shared" si="2"/>
        <v>2.8448463116361571E-9</v>
      </c>
      <c r="W49" s="151">
        <f t="shared" si="2"/>
        <v>7.5606139360489318E-3</v>
      </c>
      <c r="X49" s="151">
        <f t="shared" si="2"/>
        <v>0.22681608803973297</v>
      </c>
      <c r="Y49" s="151">
        <f t="shared" si="2"/>
        <v>5.3371488856682019E-3</v>
      </c>
      <c r="Z49" s="151">
        <f t="shared" si="2"/>
        <v>9.4674239822668189E-5</v>
      </c>
      <c r="AA49" s="151">
        <f t="shared" si="2"/>
        <v>1.2389992994921846E-10</v>
      </c>
      <c r="AB49" s="151">
        <f t="shared" si="2"/>
        <v>6.0566363644778071E-3</v>
      </c>
      <c r="AC49" s="151">
        <f t="shared" si="2"/>
        <v>0.14912091189156843</v>
      </c>
      <c r="AD49" s="151">
        <f t="shared" si="2"/>
        <v>3.5089244136541774E-3</v>
      </c>
      <c r="AE49" s="151">
        <f t="shared" si="2"/>
        <v>6.8528572607235919E-6</v>
      </c>
      <c r="AF49" s="151">
        <f t="shared" si="2"/>
        <v>2.2021572396957925E-10</v>
      </c>
      <c r="AG49" s="151">
        <f t="shared" si="2"/>
        <v>1.7396090250448193E-2</v>
      </c>
      <c r="AH49" s="151">
        <f t="shared" si="2"/>
        <v>0.56048028495780999</v>
      </c>
      <c r="AI49" s="151">
        <f t="shared" si="2"/>
        <v>1.3188512129597449E-2</v>
      </c>
      <c r="AJ49" s="253">
        <f t="shared" si="2"/>
        <v>2.6722350674452131E-6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2.5469527053367173E-4</v>
      </c>
      <c r="H50" s="179">
        <f t="shared" si="3"/>
        <v>5.5170289288566607</v>
      </c>
      <c r="I50" s="179">
        <f t="shared" si="3"/>
        <v>0.59931664947665497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1.5277924731663554E-5</v>
      </c>
      <c r="P50" s="179">
        <f t="shared" si="3"/>
        <v>1.7051459926066219E-5</v>
      </c>
      <c r="Q50" s="179">
        <f t="shared" si="3"/>
        <v>3.5092045467847194E-2</v>
      </c>
      <c r="R50" s="179">
        <f t="shared" si="3"/>
        <v>4.0123335663684548E-2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3.2061743132076083E-13</v>
      </c>
      <c r="W50" s="179">
        <f t="shared" si="3"/>
        <v>1.7041796665562599E-5</v>
      </c>
      <c r="X50" s="179">
        <f t="shared" si="3"/>
        <v>1.7041621599984564E-5</v>
      </c>
      <c r="Y50" s="179">
        <f t="shared" si="3"/>
        <v>4.0100185360927215E-2</v>
      </c>
      <c r="Z50" s="179">
        <f t="shared" si="3"/>
        <v>4.2679580207947239E-4</v>
      </c>
      <c r="AA50" s="179">
        <f t="shared" si="3"/>
        <v>2.5486538194283982E-14</v>
      </c>
      <c r="AB50" s="179">
        <f t="shared" si="3"/>
        <v>2.0764431168419534E-5</v>
      </c>
      <c r="AC50" s="179">
        <f t="shared" si="3"/>
        <v>1.7041422138228885E-5</v>
      </c>
      <c r="AD50" s="179">
        <f t="shared" si="3"/>
        <v>4.0099716012800983E-2</v>
      </c>
      <c r="AE50" s="179">
        <f t="shared" si="3"/>
        <v>7.0482529080925373E-5</v>
      </c>
      <c r="AF50" s="179">
        <f t="shared" si="3"/>
        <v>1.5099649268655574E-14</v>
      </c>
      <c r="AG50" s="179">
        <f t="shared" si="3"/>
        <v>1.704010028327188E-5</v>
      </c>
      <c r="AH50" s="179">
        <f t="shared" si="3"/>
        <v>1.8300357771926787E-5</v>
      </c>
      <c r="AI50" s="179">
        <f t="shared" si="3"/>
        <v>4.3062083882075754E-2</v>
      </c>
      <c r="AJ50" s="380">
        <f t="shared" si="3"/>
        <v>1.221523802644805E-5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2.3048757604840582E-21</v>
      </c>
      <c r="H51" s="385">
        <f>H50*Kaw.R/Ksdw1.R*8.314*TEMP.R</f>
        <v>3.9915725625071501E-20</v>
      </c>
      <c r="I51" s="385">
        <f>I50*Kaw.R/Ksdw2.R*8.314*TEMP.R</f>
        <v>4.3360582754828686E-21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1.3825823428415739E-22</v>
      </c>
      <c r="P51" s="385">
        <f>P50*Kaw.C*8.314*TEMP.C</f>
        <v>1.5430791699471115E-22</v>
      </c>
      <c r="Q51" s="385">
        <f>Q50*Kaw.C/Ksdw1.C*8.314*TEMP.C</f>
        <v>2.5389108460002331E-22</v>
      </c>
      <c r="R51" s="385">
        <f>R50*Kaw.C/Ksdw2.C*8.314*TEMP.C</f>
        <v>2.9029248861418988E-22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7.596997973402296E-10</v>
      </c>
      <c r="W51" s="385">
        <f>W50*Kaw.M*8.314*TEMP.M</f>
        <v>1.5422046890486099E-22</v>
      </c>
      <c r="X51" s="385">
        <f>X50*Kaw.M*8.314*TEMP.M</f>
        <v>1.5421888464141369E-22</v>
      </c>
      <c r="Y51" s="385">
        <f>Y50*Kaw.M/Ksdw.M*8.314*TEMP.M</f>
        <v>2.9012499608425846E-22</v>
      </c>
      <c r="Z51" s="372">
        <f>Z50*Kaw.M/Kslw.M*8.314*TEMP.M</f>
        <v>2.5745279913201086E-24</v>
      </c>
      <c r="AA51" s="385">
        <f>AA50*8.314*TEMP.A</f>
        <v>5.5728405657933864E-11</v>
      </c>
      <c r="AB51" s="385">
        <f>AB50*Kaw.A*8.314*TEMP.A</f>
        <v>2.724107395181813E-23</v>
      </c>
      <c r="AC51" s="385">
        <f>AC50*Kaw.A*8.314*TEMP.A</f>
        <v>2.2356819551006163E-23</v>
      </c>
      <c r="AD51" s="385">
        <f>AD50*Kaw.A/Ksdw.A*8.314*TEMP.A</f>
        <v>4.2058871063526742E-23</v>
      </c>
      <c r="AE51" s="372">
        <f>AE50*Kaw.A/Kslw.A*8.314*TEMP.A</f>
        <v>6.1636292142218038E-26</v>
      </c>
      <c r="AF51" s="385">
        <f>AF50*8.314*TEMP.T</f>
        <v>3.7410468237841531E-11</v>
      </c>
      <c r="AG51" s="385">
        <f>AG50*Kaw.T*8.314*TEMP.T</f>
        <v>4.221807533902647E-22</v>
      </c>
      <c r="AH51" s="385">
        <f>AH50*Kaw.T*8.314*TEMP.T</f>
        <v>4.5340454005708184E-22</v>
      </c>
      <c r="AI51" s="385">
        <f>AI50*Kaw.T/Ksdw.T*8.314*TEMP.T</f>
        <v>8.5296940588329226E-22</v>
      </c>
      <c r="AJ51" s="386">
        <f>AJ50*Kaw.T/Kslw.T*8.314*TEMP.T</f>
        <v>2.0173398018706132E-25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4.5017659229007833E-18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9.7699626167013776E-15</v>
      </c>
      <c r="H58" s="376">
        <f t="shared" ref="H58:N58" si="10">H12*H$45</f>
        <v>0</v>
      </c>
      <c r="I58" s="179">
        <f t="shared" si="10"/>
        <v>0.17015375282648074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0.21022216464380153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0.18659228769215697</v>
      </c>
      <c r="H60" s="376">
        <f t="shared" ref="H60:H87" si="15">H14*H$45</f>
        <v>0</v>
      </c>
      <c r="I60" s="378">
        <f>SUM(D60:H60,J60:AJ60)-SUM(I55:I59,I61:I87)</f>
        <v>1.643853486567623E-2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2.4682092033278926E-17</v>
      </c>
      <c r="P64" s="179">
        <f t="shared" ref="P64:AJ64" si="25">P18*P$45</f>
        <v>1.1191711338112661E-15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3.1894455015456223E-3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2.7040011538927238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3.4889545025785051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0.31917363700886525</v>
      </c>
      <c r="P67" s="378">
        <f>SUM(D67:O67,Q67:AJ67)-SUM(P55:P66,P68:P87)</f>
        <v>5.0192738854093477E-11</v>
      </c>
      <c r="Q67" s="376">
        <f t="shared" ref="Q67:AJ67" si="31">Q21*Q$45</f>
        <v>0</v>
      </c>
      <c r="R67" s="179">
        <f t="shared" si="31"/>
        <v>42.365325586056343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401.10583526847694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2.9940635008540748</v>
      </c>
      <c r="P68" s="376">
        <f t="shared" ref="P68:P87" si="32">P22*P$45</f>
        <v>0</v>
      </c>
      <c r="Q68" s="378">
        <f>SUM(D68:P68,R68:AJ68)-SUM(Q55:Q67,Q69:Q87)</f>
        <v>0.29006234696135103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46.388174275020333</v>
      </c>
      <c r="Q69" s="376">
        <f t="shared" ref="Q69:Q87" si="34">Q23*Q$45</f>
        <v>0</v>
      </c>
      <c r="R69" s="378">
        <f>SUM(D69:Q69,S69:AJ69)-SUM(R55:R68,R70:R87)</f>
        <v>4.0228486889639896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9.1107710264437536E-6</v>
      </c>
      <c r="W73" s="179">
        <f t="shared" ref="W73:AJ73" si="43">W27*W$45</f>
        <v>1.1682823356582988E-14</v>
      </c>
      <c r="X73" s="376">
        <f t="shared" si="43"/>
        <v>0</v>
      </c>
      <c r="Y73" s="376">
        <f t="shared" si="43"/>
        <v>0</v>
      </c>
      <c r="Z73" s="179">
        <f t="shared" si="43"/>
        <v>5.6108737707718201E-17</v>
      </c>
      <c r="AA73" s="179">
        <f t="shared" si="43"/>
        <v>7.49929375082262E-4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7.6955028391643076E-4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401.3332754997968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9.8344443719015837E-2</v>
      </c>
      <c r="W74" s="378">
        <f>SUM(D74:V74,X74:AJ74)-SUM(W55:W73,W75:W87)</f>
        <v>2.6193447411060333E-10</v>
      </c>
      <c r="X74" s="376">
        <f t="shared" ref="X74:AJ74" si="45">X28*X$45</f>
        <v>16465.530872829026</v>
      </c>
      <c r="Y74" s="376">
        <f t="shared" si="45"/>
        <v>0</v>
      </c>
      <c r="Z74" s="179">
        <f t="shared" si="45"/>
        <v>9.7820168263085552E-2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2556.015042490782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16465.700020328455</v>
      </c>
      <c r="X75" s="378">
        <f>SUM(D75:W75,Y75:AJ75)-SUM(X55:X74,X76:X87)</f>
        <v>7.8543962445110083E-9</v>
      </c>
      <c r="Y75" s="376">
        <f t="shared" ref="Y75:AJ75" si="47">Y29*Y$45</f>
        <v>484.09348852987097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2556.2133207343331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484.23271675809235</v>
      </c>
      <c r="Y76" s="378">
        <f>SUM(D76:X76,Z76:AJ76)-SUM(Y55:Y75,Y77:Y87)</f>
        <v>0.13922822822138414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9.8344443713978949E-2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9.4340168161709485E-3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3.9679608960195567E-7</v>
      </c>
      <c r="AB78" s="179">
        <f t="shared" ref="AB78:AJ78" si="53">AB32*AB$45</f>
        <v>1.4702422739776862E-15</v>
      </c>
      <c r="AC78" s="376">
        <f t="shared" si="53"/>
        <v>0</v>
      </c>
      <c r="AD78" s="376">
        <f t="shared" si="53"/>
        <v>0</v>
      </c>
      <c r="AE78" s="179">
        <f t="shared" si="53"/>
        <v>6.3802516634330849E-19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2556.2694998343895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5.2102143870261458E-3</v>
      </c>
      <c r="AB79" s="378">
        <f>SUM(D79:AA79,AC79:AJ79)-SUM(AB55:AB78,AB80:AB87)</f>
        <v>4.0017766878008842E-11</v>
      </c>
      <c r="AC79" s="376">
        <f t="shared" ref="AC79:AJ79" si="55">AC33*AC$45</f>
        <v>11700.915857031399</v>
      </c>
      <c r="AD79" s="376">
        <f t="shared" si="55"/>
        <v>0</v>
      </c>
      <c r="AE79" s="179">
        <f t="shared" si="55"/>
        <v>3.4599230735118443E-3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14257.194027003208</v>
      </c>
      <c r="AC80" s="378">
        <f>SUM(D80:AB80,AD80:AJ80)-SUM(AC55:AC79,AC81:AC87)</f>
        <v>1.127773430198431E-9</v>
      </c>
      <c r="AD80" s="376">
        <f t="shared" ref="AD80:AJ80" si="57">AD34*AD$45</f>
        <v>318.29539105687422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318.3602402932234</v>
      </c>
      <c r="AD81" s="378">
        <f>SUM(D81:AC81,AE81:AJ81)-SUM(AD55:AD80,AD82:AD87)</f>
        <v>6.4849236349175499E-2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3.4734762579744097E-3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1.355318446256493E-5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1.6340196445067259E-2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7.0525252254122206E-7</v>
      </c>
      <c r="AG83" s="179">
        <f>AG37*AG$45</f>
        <v>7.0383464439884624E-14</v>
      </c>
      <c r="AH83" s="376">
        <f>AH37*AH$45</f>
        <v>0</v>
      </c>
      <c r="AI83" s="376">
        <f>AI37*AI$45</f>
        <v>0</v>
      </c>
      <c r="AJ83" s="380">
        <f>AJ37*AJ$45</f>
        <v>4.1466882864169013E-18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1.0898958636342848E-2</v>
      </c>
      <c r="AG84" s="378">
        <f>SUM(D84:AF84,AH84:AJ84)-SUM(AG55:AG83,AG85:AG87)</f>
        <v>1.469743438065052E-9</v>
      </c>
      <c r="AH84" s="376">
        <f>AH38*AH$45</f>
        <v>37115.990768997464</v>
      </c>
      <c r="AI84" s="179">
        <f>AI38*AI$45</f>
        <v>0</v>
      </c>
      <c r="AJ84" s="380">
        <f>AJ38*AJ$45</f>
        <v>4.6435003145911535E-3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2556.2432399976847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34559.991268964164</v>
      </c>
      <c r="AH85" s="378">
        <f>SUM(D85:AG85,AI85:AJ85)-SUM(AH55:AH84,AH86:AH87)</f>
        <v>4.7803041525185108E-8</v>
      </c>
      <c r="AI85" s="376">
        <f>AI39*AI$45</f>
        <v>1196.3331582218198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1196.5768981384008</v>
      </c>
      <c r="AI86" s="378">
        <f>SUM(D86:AH86,AJ86)-SUM(AI55:AI85,AI87)</f>
        <v>0.24373991658103478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4.6709822723558269E-3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2.7481957764668996E-5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145760.39270053076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3.6755467902706815</v>
      </c>
      <c r="H92" s="179">
        <f>SUM($D$59:$AJ$59)</f>
        <v>33.877408284487331</v>
      </c>
      <c r="I92" s="179">
        <f>SUM($D$60:$AJ$60)</f>
        <v>0.2030308225578332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3.3132371378629739</v>
      </c>
      <c r="P92" s="179">
        <f>SUM($D$67:$AJ$67)</f>
        <v>447.93167193956134</v>
      </c>
      <c r="Q92" s="179">
        <f>SUM($D$68:$AJ$68)</f>
        <v>3.2841258478154258</v>
      </c>
      <c r="R92" s="179">
        <f>SUM($D$69:$AJ$69)</f>
        <v>50.411022963984323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0.22567076773783151</v>
      </c>
      <c r="W92" s="179">
        <f>SUM($D$74:$AJ$74)</f>
        <v>19423.075355431847</v>
      </c>
      <c r="X92" s="179">
        <f>SUM($D$75:$AJ$75)</f>
        <v>19506.006829600512</v>
      </c>
      <c r="Y92" s="179">
        <f>SUM($D$76:$AJ$76)</f>
        <v>484.37194498631374</v>
      </c>
      <c r="Z92" s="179">
        <f>SUM($D$77:$AJ$77)</f>
        <v>9.886871916487229E-2</v>
      </c>
      <c r="AA92" s="179">
        <f>SUM($D$78:$AJ$78)</f>
        <v>9.4344136122620215E-3</v>
      </c>
      <c r="AB92" s="179">
        <f>SUM($D$79:$AJ$79)</f>
        <v>14257.194027003288</v>
      </c>
      <c r="AC92" s="179">
        <f>SUM($D$80:$AJ$80)</f>
        <v>14575.48941806121</v>
      </c>
      <c r="AD92" s="179">
        <f>SUM($D$81:$AJ$81)</f>
        <v>318.42508952957257</v>
      </c>
      <c r="AE92" s="179">
        <f>SUM($D$82:$AJ$82)</f>
        <v>3.4870294424369746E-3</v>
      </c>
      <c r="AF92" s="179">
        <f>SUM($D$83:$AJ$83)</f>
        <v>1.6340901697660188E-2</v>
      </c>
      <c r="AG92" s="179">
        <f>SUM($D$84:$AJ$84)</f>
        <v>37116.006311457888</v>
      </c>
      <c r="AH92" s="179">
        <f>SUM($D$85:$AJ$85)</f>
        <v>38312.567667231473</v>
      </c>
      <c r="AI92" s="179">
        <f>SUM($D$86:$AJ$86)</f>
        <v>1196.8206380549818</v>
      </c>
      <c r="AJ92" s="380">
        <f>SUM($D$87:$AJ$87)</f>
        <v>4.6984642301204959E-3</v>
      </c>
    </row>
    <row r="93" spans="2:36" ht="12.75" customHeight="1" x14ac:dyDescent="0.2">
      <c r="B93" s="146" t="s">
        <v>1212</v>
      </c>
      <c r="C93" s="150">
        <f>SUM(D93:AJ93)</f>
        <v>145760.39270053076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3.6755467902706718</v>
      </c>
      <c r="H93" s="179">
        <f t="shared" si="61"/>
        <v>30.865219086809269</v>
      </c>
      <c r="I93" s="179">
        <f t="shared" si="61"/>
        <v>0.18659228769215697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3.313237137862957</v>
      </c>
      <c r="P93" s="179">
        <f t="shared" si="61"/>
        <v>447.93167193951115</v>
      </c>
      <c r="Q93" s="179">
        <f t="shared" si="61"/>
        <v>2.9940635008540748</v>
      </c>
      <c r="R93" s="179">
        <f t="shared" si="61"/>
        <v>46.388174275020333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0.22566165696680507</v>
      </c>
      <c r="W93" s="179">
        <f t="shared" si="61"/>
        <v>19423.075355431585</v>
      </c>
      <c r="X93" s="179">
        <f t="shared" si="61"/>
        <v>19506.006829592658</v>
      </c>
      <c r="Y93" s="179">
        <f t="shared" si="61"/>
        <v>484.23271675809235</v>
      </c>
      <c r="Z93" s="179">
        <f t="shared" si="61"/>
        <v>9.8344443713978949E-2</v>
      </c>
      <c r="AA93" s="179">
        <f t="shared" si="61"/>
        <v>9.4340168161724195E-3</v>
      </c>
      <c r="AB93" s="179">
        <f t="shared" si="61"/>
        <v>14257.194027003248</v>
      </c>
      <c r="AC93" s="179">
        <f t="shared" si="61"/>
        <v>14575.489418060082</v>
      </c>
      <c r="AD93" s="179">
        <f t="shared" si="61"/>
        <v>318.3602402932234</v>
      </c>
      <c r="AE93" s="179">
        <f t="shared" si="61"/>
        <v>3.4734762579744097E-3</v>
      </c>
      <c r="AF93" s="179">
        <f t="shared" si="61"/>
        <v>1.6340196445137647E-2</v>
      </c>
      <c r="AG93" s="179">
        <f t="shared" si="61"/>
        <v>37116.006311456418</v>
      </c>
      <c r="AH93" s="179">
        <f t="shared" si="61"/>
        <v>38312.56766718367</v>
      </c>
      <c r="AI93" s="179">
        <f t="shared" si="61"/>
        <v>1196.5768981384008</v>
      </c>
      <c r="AJ93" s="380">
        <f t="shared" si="61"/>
        <v>4.6709822723558269E-3</v>
      </c>
    </row>
    <row r="94" spans="2:36" ht="12.75" customHeight="1" x14ac:dyDescent="0.2">
      <c r="B94" s="152" t="s">
        <v>1211</v>
      </c>
      <c r="C94" s="150">
        <f>SUM(D94:AJ94)</f>
        <v>7.8128593915467901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1.0091539180255925E-14</v>
      </c>
      <c r="H94" s="179">
        <f>k.sd1R*H45</f>
        <v>3.0121891976780684</v>
      </c>
      <c r="I94" s="179">
        <f>k.sd2R*I45</f>
        <v>1.6438534865676226E-2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1.6598839415712097E-14</v>
      </c>
      <c r="P94" s="179">
        <f>k.w2C*P45</f>
        <v>5.017657310351788E-11</v>
      </c>
      <c r="Q94" s="179">
        <f>k.sd1C*Q45</f>
        <v>0.2900623469613508</v>
      </c>
      <c r="R94" s="179">
        <f>k.sd2C*R45</f>
        <v>4.0228486889639905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9.1107710264738046E-6</v>
      </c>
      <c r="W94" s="179">
        <f>k.w2M*W45</f>
        <v>2.61892047827749E-10</v>
      </c>
      <c r="X94" s="179">
        <f>k.w3M*X45</f>
        <v>7.8566807245347788E-9</v>
      </c>
      <c r="Y94" s="179">
        <f>k.sdM*Y45</f>
        <v>0.13922822822137923</v>
      </c>
      <c r="Z94" s="179">
        <f>k.sM*Z45</f>
        <v>5.2427545089330158E-4</v>
      </c>
      <c r="AA94" s="179">
        <f>k.aA*AA45</f>
        <v>3.9679608959763199E-7</v>
      </c>
      <c r="AB94" s="179">
        <f>k.w2A*AB45</f>
        <v>4.565945868452932E-11</v>
      </c>
      <c r="AC94" s="179">
        <f>k.w3A*AC45</f>
        <v>1.1241850601178442E-9</v>
      </c>
      <c r="AD94" s="179">
        <f>k.sdA*AD45</f>
        <v>6.4849236349185171E-2</v>
      </c>
      <c r="AE94" s="179">
        <f>k.sA*AE45</f>
        <v>1.3553184462565438E-5</v>
      </c>
      <c r="AF94" s="179">
        <f>k.aT*AF45</f>
        <v>7.0525252253858715E-7</v>
      </c>
      <c r="AG94" s="179">
        <f>k.w2T*AG45</f>
        <v>1.4837334767861547E-9</v>
      </c>
      <c r="AH94" s="179">
        <f>k.w3T*AH45</f>
        <v>4.7804038142945407E-8</v>
      </c>
      <c r="AI94" s="179">
        <f>k.sdT*AI45</f>
        <v>0.24373991658140437</v>
      </c>
      <c r="AJ94" s="374">
        <f>k.sT*AJ45</f>
        <v>2.7481957764668257E-5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100.26207000000001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9.0000000000406135E-10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2.6235185185185189E-10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2024-07-11T13:16:15Z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