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CEA6604F-43F7-448E-99A0-6896CD039560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9" i="8" l="1"/>
  <c r="I381" i="8"/>
  <c r="I245" i="8"/>
  <c r="I165" i="7"/>
  <c r="I164" i="7"/>
  <c r="K165" i="7"/>
  <c r="I158" i="6"/>
  <c r="I159" i="6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B497" i="22"/>
  <c r="K60" i="7"/>
  <c r="L60" i="7" s="1"/>
  <c r="L203" i="8"/>
  <c r="K50" i="6" l="1"/>
  <c r="L50" i="6" s="1"/>
  <c r="F12" i="11" s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L19" i="3"/>
  <c r="J39" i="3"/>
  <c r="L39" i="3"/>
  <c r="J35" i="3"/>
  <c r="L35" i="3"/>
  <c r="K36" i="3"/>
  <c r="L36" i="3"/>
  <c r="K63" i="6"/>
  <c r="L63" i="6"/>
  <c r="J14" i="3"/>
  <c r="L14" i="3"/>
  <c r="K25" i="3"/>
  <c r="L25" i="3"/>
  <c r="J66" i="6"/>
  <c r="J17" i="3"/>
  <c r="L17" i="3"/>
  <c r="K18" i="3"/>
  <c r="L18" i="3"/>
  <c r="K67" i="6"/>
  <c r="L67" i="6"/>
  <c r="J20" i="3"/>
  <c r="L20" i="3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/>
  <c r="L141" i="7"/>
  <c r="K122" i="7"/>
  <c r="L122" i="7"/>
  <c r="P18" i="11"/>
  <c r="K144" i="7"/>
  <c r="L144" i="7"/>
  <c r="K123" i="7"/>
  <c r="L123" i="7"/>
  <c r="S18" i="11"/>
  <c r="K145" i="7"/>
  <c r="L145" i="7"/>
  <c r="K124" i="7"/>
  <c r="L124" i="7"/>
  <c r="T18" i="11"/>
  <c r="K146" i="7"/>
  <c r="L146" i="7"/>
  <c r="K125" i="7"/>
  <c r="L125" i="7"/>
  <c r="U18" i="1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208" i="7"/>
  <c r="L208" i="7"/>
  <c r="K196" i="7"/>
  <c r="L196" i="7"/>
  <c r="K159" i="7"/>
  <c r="L159" i="7"/>
  <c r="K170" i="7"/>
  <c r="L170" i="7"/>
  <c r="K154" i="7"/>
  <c r="L154" i="7"/>
  <c r="P23" i="11"/>
  <c r="P21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T25" i="11"/>
  <c r="K217" i="7"/>
  <c r="L217" i="7"/>
  <c r="K201" i="7"/>
  <c r="L201" i="7"/>
  <c r="U26" i="11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D45" i="11" a="1"/>
  <c r="E45" i="11"/>
  <c r="E55" i="11"/>
  <c r="F45" i="11"/>
  <c r="F55" i="11"/>
  <c r="G45" i="11"/>
  <c r="G55" i="11"/>
  <c r="H45" i="11"/>
  <c r="H55" i="11"/>
  <c r="I45" i="11"/>
  <c r="I55" i="11"/>
  <c r="J45" i="11"/>
  <c r="J55" i="11"/>
  <c r="K45" i="11"/>
  <c r="K55" i="11"/>
  <c r="L45" i="11"/>
  <c r="L55" i="11"/>
  <c r="M45" i="11"/>
  <c r="M55" i="11"/>
  <c r="N45" i="11"/>
  <c r="N55" i="11"/>
  <c r="O45" i="11"/>
  <c r="O55" i="11"/>
  <c r="P45" i="11"/>
  <c r="P55" i="11"/>
  <c r="Q45" i="11"/>
  <c r="Q55" i="11"/>
  <c r="R45" i="11"/>
  <c r="R55" i="11"/>
  <c r="S45" i="11"/>
  <c r="S55" i="11"/>
  <c r="T45" i="11"/>
  <c r="T55" i="11"/>
  <c r="U45" i="11"/>
  <c r="U55" i="11"/>
  <c r="V45" i="11"/>
  <c r="V55" i="11"/>
  <c r="W45" i="11"/>
  <c r="W55" i="11"/>
  <c r="X45" i="11"/>
  <c r="X55" i="11"/>
  <c r="Y45" i="11"/>
  <c r="Y55" i="11"/>
  <c r="Z45" i="11"/>
  <c r="Z55" i="11"/>
  <c r="AA45" i="11"/>
  <c r="AA55" i="11"/>
  <c r="AB45" i="11"/>
  <c r="AB55" i="11"/>
  <c r="AC45" i="11"/>
  <c r="AC55" i="11"/>
  <c r="AD45" i="11"/>
  <c r="AD55" i="11"/>
  <c r="AE45" i="11"/>
  <c r="AE55" i="11"/>
  <c r="AF45" i="11"/>
  <c r="AF55" i="11"/>
  <c r="AG45" i="11"/>
  <c r="AG55" i="11"/>
  <c r="AH45" i="11"/>
  <c r="AH55" i="11"/>
  <c r="AI45" i="11"/>
  <c r="AI55" i="11"/>
  <c r="AJ45" i="11"/>
  <c r="AJ55" i="11"/>
  <c r="D4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55" i="11"/>
  <c r="D92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56" i="11"/>
  <c r="E92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57" i="11"/>
  <c r="F92" i="11"/>
  <c r="H58" i="11"/>
  <c r="I58" i="11"/>
  <c r="J58" i="11"/>
  <c r="K58" i="11"/>
  <c r="L58" i="11"/>
  <c r="M58" i="11"/>
  <c r="N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58" i="11"/>
  <c r="G92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59" i="11"/>
  <c r="H92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60" i="11"/>
  <c r="I92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61" i="11"/>
  <c r="J9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62" i="11"/>
  <c r="K92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63" i="11"/>
  <c r="L92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64" i="11"/>
  <c r="M92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65" i="11"/>
  <c r="N92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66" i="11"/>
  <c r="O92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67" i="11"/>
  <c r="P92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68" i="11"/>
  <c r="Q92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69" i="11"/>
  <c r="R92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70" i="11"/>
  <c r="S92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71" i="11"/>
  <c r="T9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72" i="11"/>
  <c r="U92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73" i="11"/>
  <c r="V92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74" i="11"/>
  <c r="W92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75" i="11"/>
  <c r="X92" i="11"/>
  <c r="Z76" i="11"/>
  <c r="AA76" i="11"/>
  <c r="AB76" i="11"/>
  <c r="AC76" i="11"/>
  <c r="AD76" i="11"/>
  <c r="AE76" i="11"/>
  <c r="AF76" i="11"/>
  <c r="AG76" i="11"/>
  <c r="AH76" i="11"/>
  <c r="AI76" i="11"/>
  <c r="AJ76" i="11"/>
  <c r="Y77" i="11"/>
  <c r="Y78" i="11"/>
  <c r="Y79" i="11"/>
  <c r="Y80" i="11"/>
  <c r="Y81" i="11"/>
  <c r="Y82" i="11"/>
  <c r="Y83" i="11"/>
  <c r="Y84" i="11"/>
  <c r="Y85" i="11"/>
  <c r="Y86" i="11"/>
  <c r="Y87" i="11"/>
  <c r="Y76" i="11"/>
  <c r="Y92" i="11"/>
  <c r="AA77" i="11"/>
  <c r="AB77" i="11"/>
  <c r="AC77" i="11"/>
  <c r="AD77" i="11"/>
  <c r="AE77" i="11"/>
  <c r="AF77" i="11"/>
  <c r="AG77" i="11"/>
  <c r="AH77" i="11"/>
  <c r="AI77" i="11"/>
  <c r="AJ77" i="11"/>
  <c r="Z78" i="11"/>
  <c r="Z79" i="11"/>
  <c r="Z80" i="11"/>
  <c r="Z81" i="11"/>
  <c r="Z82" i="11"/>
  <c r="Z83" i="11"/>
  <c r="Z84" i="11"/>
  <c r="Z85" i="11"/>
  <c r="Z86" i="11"/>
  <c r="Z87" i="11"/>
  <c r="Z77" i="11"/>
  <c r="Z92" i="11"/>
  <c r="AB78" i="11"/>
  <c r="AC78" i="11"/>
  <c r="AD78" i="11"/>
  <c r="AE78" i="11"/>
  <c r="AF78" i="11"/>
  <c r="AG78" i="11"/>
  <c r="AH78" i="11"/>
  <c r="AI78" i="11"/>
  <c r="AJ78" i="11"/>
  <c r="AA79" i="11"/>
  <c r="AA80" i="11"/>
  <c r="AA81" i="11"/>
  <c r="AA82" i="11"/>
  <c r="AA83" i="11"/>
  <c r="AA84" i="11"/>
  <c r="AA85" i="11"/>
  <c r="AA86" i="11"/>
  <c r="AA87" i="11"/>
  <c r="AA78" i="11"/>
  <c r="AA92" i="11"/>
  <c r="AC79" i="11"/>
  <c r="AD79" i="11"/>
  <c r="AE79" i="11"/>
  <c r="AF79" i="11"/>
  <c r="AG79" i="11"/>
  <c r="AH79" i="11"/>
  <c r="AI79" i="11"/>
  <c r="AJ79" i="11"/>
  <c r="AB80" i="11"/>
  <c r="AB81" i="11"/>
  <c r="AB82" i="11"/>
  <c r="AB83" i="11"/>
  <c r="AB84" i="11"/>
  <c r="AB85" i="11"/>
  <c r="AB86" i="11"/>
  <c r="AB87" i="11"/>
  <c r="AB79" i="11"/>
  <c r="AB92" i="11"/>
  <c r="AD80" i="11"/>
  <c r="AE80" i="11"/>
  <c r="AF80" i="11"/>
  <c r="AG80" i="11"/>
  <c r="AH80" i="11"/>
  <c r="AI80" i="11"/>
  <c r="AJ80" i="11"/>
  <c r="AC81" i="11"/>
  <c r="AC82" i="11"/>
  <c r="AC83" i="11"/>
  <c r="AC84" i="11"/>
  <c r="AC85" i="11"/>
  <c r="AC86" i="11"/>
  <c r="AC87" i="11"/>
  <c r="AC80" i="11"/>
  <c r="AC92" i="11"/>
  <c r="AE81" i="11"/>
  <c r="AF81" i="11"/>
  <c r="AG81" i="11"/>
  <c r="AH81" i="11"/>
  <c r="AI81" i="11"/>
  <c r="AJ81" i="11"/>
  <c r="AD82" i="11"/>
  <c r="AD83" i="11"/>
  <c r="AD84" i="11"/>
  <c r="AD85" i="11"/>
  <c r="AD86" i="11"/>
  <c r="AD87" i="11"/>
  <c r="AD81" i="11"/>
  <c r="AD92" i="11"/>
  <c r="AF82" i="11"/>
  <c r="AG82" i="11"/>
  <c r="AH82" i="11"/>
  <c r="AI82" i="11"/>
  <c r="AJ82" i="11"/>
  <c r="AE83" i="11"/>
  <c r="AE84" i="11"/>
  <c r="AE85" i="11"/>
  <c r="AE86" i="11"/>
  <c r="AE87" i="11"/>
  <c r="AE82" i="11"/>
  <c r="AE92" i="11"/>
  <c r="AG83" i="11"/>
  <c r="AH83" i="11"/>
  <c r="AI83" i="11"/>
  <c r="AJ83" i="11"/>
  <c r="AF84" i="11"/>
  <c r="AF85" i="11"/>
  <c r="AF86" i="11"/>
  <c r="AF87" i="11"/>
  <c r="AF83" i="11"/>
  <c r="AF92" i="11"/>
  <c r="AH84" i="11"/>
  <c r="AI84" i="11"/>
  <c r="AJ84" i="11"/>
  <c r="AG85" i="11"/>
  <c r="AG86" i="11"/>
  <c r="AG87" i="11"/>
  <c r="AG84" i="11"/>
  <c r="AG92" i="11"/>
  <c r="AI85" i="11"/>
  <c r="AJ85" i="11"/>
  <c r="AH86" i="11"/>
  <c r="AH87" i="11"/>
  <c r="AH85" i="11"/>
  <c r="AH92" i="11"/>
  <c r="AJ86" i="11"/>
  <c r="AI87" i="11"/>
  <c r="AI86" i="11"/>
  <c r="AI92" i="11"/>
  <c r="AJ87" i="11"/>
  <c r="AJ92" i="11"/>
  <c r="C92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C93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C94" i="11"/>
  <c r="C95" i="11"/>
  <c r="AC12" i="23"/>
  <c r="AD12" i="23"/>
  <c r="AI13" i="23"/>
  <c r="AI14" i="23"/>
  <c r="AI15" i="23"/>
  <c r="AI12" i="23"/>
  <c r="AK18" i="23"/>
  <c r="AK19" i="23"/>
  <c r="AK20" i="23"/>
  <c r="AK12" i="23"/>
  <c r="AE12" i="23"/>
  <c r="AF12" i="23"/>
  <c r="AG12" i="23"/>
  <c r="AH13" i="23"/>
  <c r="AH14" i="23"/>
  <c r="AH15" i="23"/>
  <c r="AH12" i="23"/>
  <c r="AJ18" i="23"/>
  <c r="AJ19" i="23"/>
  <c r="AJ20" i="23"/>
  <c r="AJ12" i="23"/>
  <c r="AO12" i="23"/>
  <c r="L81" i="3"/>
  <c r="AC13" i="23"/>
  <c r="AD13" i="23"/>
  <c r="AL18" i="23"/>
  <c r="AL19" i="23"/>
  <c r="AL20" i="23"/>
  <c r="AL13" i="23"/>
  <c r="AE13" i="23"/>
  <c r="AG13" i="23"/>
  <c r="AO13" i="23"/>
  <c r="AC14" i="23"/>
  <c r="E50" i="11"/>
  <c r="O50" i="11"/>
  <c r="AD14" i="23"/>
  <c r="AL14" i="23"/>
  <c r="AN14" i="23"/>
  <c r="F50" i="11"/>
  <c r="AE14" i="23"/>
  <c r="AG14" i="23"/>
  <c r="AM14" i="23"/>
  <c r="AO14" i="23"/>
  <c r="AC15" i="23"/>
  <c r="AD15" i="23"/>
  <c r="AN15" i="23"/>
  <c r="AE15" i="23"/>
  <c r="AG15" i="23"/>
  <c r="AM15" i="23"/>
  <c r="AO15" i="23"/>
  <c r="AM16" i="23"/>
  <c r="H50" i="11"/>
  <c r="AF16" i="23"/>
  <c r="AG16" i="23"/>
  <c r="AN16" i="23"/>
  <c r="AO16" i="23"/>
  <c r="AM17" i="23"/>
  <c r="I50" i="11"/>
  <c r="AF17" i="23"/>
  <c r="AG17" i="23"/>
  <c r="AN17" i="23"/>
  <c r="AO17" i="23"/>
  <c r="AC18" i="23"/>
  <c r="J50" i="11"/>
  <c r="AF18" i="23"/>
  <c r="AG18" i="23"/>
  <c r="AO18" i="23"/>
  <c r="AC19" i="23"/>
  <c r="K50" i="11"/>
  <c r="AF19" i="23"/>
  <c r="AG19" i="23"/>
  <c r="AO19" i="23"/>
  <c r="AC20" i="23"/>
  <c r="L50" i="11"/>
  <c r="AF20" i="23"/>
  <c r="AG20" i="23"/>
  <c r="AO20" i="23"/>
  <c r="AC22" i="23"/>
  <c r="AD22" i="23"/>
  <c r="AI23" i="23"/>
  <c r="AI24" i="23"/>
  <c r="AI25" i="23"/>
  <c r="AI22" i="23"/>
  <c r="AK28" i="23"/>
  <c r="AK29" i="23"/>
  <c r="AK30" i="23"/>
  <c r="AK22" i="23"/>
  <c r="AE22" i="23"/>
  <c r="AF22" i="23"/>
  <c r="AG22" i="23"/>
  <c r="AH23" i="23"/>
  <c r="AH24" i="23"/>
  <c r="AH25" i="23"/>
  <c r="AH22" i="23"/>
  <c r="AJ28" i="23"/>
  <c r="AJ29" i="23"/>
  <c r="AJ30" i="23"/>
  <c r="AJ22" i="23"/>
  <c r="AO22" i="23"/>
  <c r="L89" i="3"/>
  <c r="AC23" i="23"/>
  <c r="AD23" i="23"/>
  <c r="AL28" i="23"/>
  <c r="AL29" i="23"/>
  <c r="AL30" i="23"/>
  <c r="AL23" i="23"/>
  <c r="AE23" i="23"/>
  <c r="AG23" i="23"/>
  <c r="AO23" i="23"/>
  <c r="AC24" i="23"/>
  <c r="AD24" i="23"/>
  <c r="AL24" i="23"/>
  <c r="AN24" i="23"/>
  <c r="AE24" i="23"/>
  <c r="AG24" i="23"/>
  <c r="AM24" i="23"/>
  <c r="AO24" i="23"/>
  <c r="AC25" i="23"/>
  <c r="AD25" i="23"/>
  <c r="AN25" i="23"/>
  <c r="AE25" i="23"/>
  <c r="AG25" i="23"/>
  <c r="AM25" i="23"/>
  <c r="AO25" i="23"/>
  <c r="AM26" i="23"/>
  <c r="Q50" i="11"/>
  <c r="AF26" i="23"/>
  <c r="AG26" i="23"/>
  <c r="AN26" i="23"/>
  <c r="AO26" i="23"/>
  <c r="AM27" i="23"/>
  <c r="R50" i="11"/>
  <c r="AF27" i="23"/>
  <c r="AG27" i="23"/>
  <c r="AN27" i="23"/>
  <c r="AO27" i="23"/>
  <c r="AC28" i="23"/>
  <c r="S50" i="11"/>
  <c r="AF28" i="23"/>
  <c r="AG28" i="23"/>
  <c r="AO28" i="23"/>
  <c r="AC29" i="23"/>
  <c r="T50" i="11"/>
  <c r="AF29" i="23"/>
  <c r="AG29" i="23"/>
  <c r="AO29" i="23"/>
  <c r="AC30" i="23"/>
  <c r="U50" i="11"/>
  <c r="AF30" i="23"/>
  <c r="AG30" i="23"/>
  <c r="AO30" i="23"/>
  <c r="AC32" i="23"/>
  <c r="AD32" i="23"/>
  <c r="AI33" i="23"/>
  <c r="AI32" i="23"/>
  <c r="AK36" i="23"/>
  <c r="AK32" i="23"/>
  <c r="AE32" i="23"/>
  <c r="AF32" i="23"/>
  <c r="AG32" i="23"/>
  <c r="AH33" i="23"/>
  <c r="AH32" i="23"/>
  <c r="AJ36" i="23"/>
  <c r="AJ32" i="23"/>
  <c r="AO32" i="23"/>
  <c r="AC33" i="23"/>
  <c r="AD33" i="23"/>
  <c r="AL36" i="23"/>
  <c r="AL33" i="23"/>
  <c r="AE33" i="23"/>
  <c r="AG33" i="23"/>
  <c r="AO33" i="23"/>
  <c r="AD34" i="23"/>
  <c r="AN34" i="23"/>
  <c r="AE34" i="23"/>
  <c r="AG34" i="23"/>
  <c r="AM34" i="23"/>
  <c r="AO34" i="23"/>
  <c r="AM35" i="23"/>
  <c r="Y50" i="11"/>
  <c r="AF35" i="23"/>
  <c r="AG35" i="23"/>
  <c r="AN35" i="23"/>
  <c r="AO35" i="23"/>
  <c r="AC36" i="23"/>
  <c r="Z50" i="11"/>
  <c r="AF36" i="23"/>
  <c r="AG36" i="23"/>
  <c r="AO36" i="23"/>
  <c r="AC38" i="23"/>
  <c r="AD38" i="23"/>
  <c r="AI39" i="23"/>
  <c r="AI38" i="23"/>
  <c r="AK42" i="23"/>
  <c r="AK38" i="23"/>
  <c r="AE38" i="23"/>
  <c r="AF38" i="23"/>
  <c r="AG38" i="23"/>
  <c r="AH39" i="23"/>
  <c r="AH38" i="23"/>
  <c r="AJ42" i="23"/>
  <c r="AJ38" i="23"/>
  <c r="AO38" i="23"/>
  <c r="AC39" i="23"/>
  <c r="AD39" i="23"/>
  <c r="AL42" i="23"/>
  <c r="AL39" i="23"/>
  <c r="AE39" i="23"/>
  <c r="AG39" i="23"/>
  <c r="AO39" i="23"/>
  <c r="AD40" i="23"/>
  <c r="AN40" i="23"/>
  <c r="AE40" i="23"/>
  <c r="AG40" i="23"/>
  <c r="AM40" i="23"/>
  <c r="AO40" i="23"/>
  <c r="AM41" i="23"/>
  <c r="AD50" i="11"/>
  <c r="AF41" i="23"/>
  <c r="AG41" i="23"/>
  <c r="AN41" i="23"/>
  <c r="AO41" i="23"/>
  <c r="AC42" i="23"/>
  <c r="AE50" i="11"/>
  <c r="AF42" i="23"/>
  <c r="AG42" i="23"/>
  <c r="AO42" i="23"/>
  <c r="AC44" i="23"/>
  <c r="AD44" i="23"/>
  <c r="AI45" i="23"/>
  <c r="AI44" i="23"/>
  <c r="AK48" i="23"/>
  <c r="AK44" i="23"/>
  <c r="AE44" i="23"/>
  <c r="AF44" i="23"/>
  <c r="AG44" i="23"/>
  <c r="AH45" i="23"/>
  <c r="AH44" i="23"/>
  <c r="AJ48" i="23"/>
  <c r="AJ44" i="23"/>
  <c r="AO44" i="23"/>
  <c r="AC45" i="23"/>
  <c r="AD45" i="23"/>
  <c r="AL48" i="23"/>
  <c r="AL45" i="23"/>
  <c r="AE45" i="23"/>
  <c r="AG45" i="23"/>
  <c r="AO45" i="23"/>
  <c r="AD46" i="23"/>
  <c r="AN46" i="23"/>
  <c r="AE46" i="23"/>
  <c r="AG46" i="23"/>
  <c r="AM46" i="23"/>
  <c r="AO46" i="23"/>
  <c r="AM47" i="23"/>
  <c r="AI50" i="11"/>
  <c r="AF47" i="23"/>
  <c r="AG47" i="23"/>
  <c r="AN47" i="23"/>
  <c r="AO47" i="23"/>
  <c r="AC48" i="23"/>
  <c r="AJ50" i="11"/>
  <c r="AF48" i="23"/>
  <c r="AG48" i="23"/>
  <c r="AO48" i="23"/>
  <c r="AO49" i="23"/>
  <c r="K11" i="23"/>
  <c r="K27" i="23"/>
  <c r="K31" i="23"/>
  <c r="K35" i="23"/>
  <c r="K47" i="23"/>
  <c r="K51" i="23"/>
  <c r="C11" i="23"/>
  <c r="C15" i="23"/>
  <c r="C19" i="23"/>
  <c r="C23" i="23"/>
  <c r="C27" i="23"/>
  <c r="C35" i="23"/>
  <c r="C39" i="23"/>
  <c r="C43" i="23"/>
  <c r="C47" i="23"/>
  <c r="C51" i="23"/>
  <c r="E11" i="23"/>
  <c r="E15" i="23"/>
  <c r="E19" i="23"/>
  <c r="E23" i="23"/>
  <c r="E27" i="23"/>
  <c r="E35" i="23"/>
  <c r="E39" i="23"/>
  <c r="E43" i="23"/>
  <c r="E47" i="23"/>
  <c r="E51" i="23"/>
  <c r="G11" i="23"/>
  <c r="G27" i="23"/>
  <c r="G31" i="23"/>
  <c r="G35" i="23"/>
  <c r="G47" i="23"/>
  <c r="G51" i="23"/>
  <c r="I11" i="23"/>
  <c r="I27" i="23"/>
  <c r="I31" i="23"/>
  <c r="I35" i="23"/>
  <c r="I47" i="23"/>
  <c r="I51" i="23"/>
  <c r="L51" i="23"/>
  <c r="L11" i="23"/>
  <c r="BH142" i="23"/>
  <c r="I12" i="23"/>
  <c r="J12" i="23"/>
  <c r="K98" i="7"/>
  <c r="L98" i="7"/>
  <c r="E41" i="23"/>
  <c r="F41" i="23"/>
  <c r="K37" i="23"/>
  <c r="L37" i="23"/>
  <c r="G36" i="23"/>
  <c r="H36" i="23"/>
  <c r="AS93" i="23"/>
  <c r="I51" i="11"/>
  <c r="S35" i="23"/>
  <c r="S37" i="23"/>
  <c r="S36" i="23"/>
  <c r="C24" i="23"/>
  <c r="D24" i="23"/>
  <c r="K12" i="23"/>
  <c r="L12" i="23"/>
  <c r="E17" i="23"/>
  <c r="F17" i="23"/>
  <c r="G29" i="23"/>
  <c r="H29" i="23"/>
  <c r="E13" i="23"/>
  <c r="F13" i="23"/>
  <c r="AS92" i="23"/>
  <c r="E28" i="23"/>
  <c r="F28" i="23"/>
  <c r="K97" i="7"/>
  <c r="L97" i="7"/>
  <c r="E40" i="23"/>
  <c r="F40" i="23"/>
  <c r="K29" i="23"/>
  <c r="L29" i="23"/>
  <c r="N95" i="11"/>
  <c r="I95" i="11"/>
  <c r="D19" i="23"/>
  <c r="AY30" i="23"/>
  <c r="D15" i="23"/>
  <c r="BB27" i="23"/>
  <c r="Z95" i="11"/>
  <c r="C12" i="23"/>
  <c r="D12" i="23"/>
  <c r="AF95" i="11"/>
  <c r="AG95" i="11"/>
  <c r="C37" i="23"/>
  <c r="D37" i="23"/>
  <c r="K97" i="6"/>
  <c r="L97" i="6"/>
  <c r="C45" i="23"/>
  <c r="D45" i="23"/>
  <c r="I33" i="23"/>
  <c r="J33" i="23"/>
  <c r="E25" i="23"/>
  <c r="F25" i="23"/>
  <c r="E37" i="23"/>
  <c r="F37" i="23"/>
  <c r="P50" i="11"/>
  <c r="N27" i="23"/>
  <c r="N28" i="23"/>
  <c r="N29" i="23"/>
  <c r="AZ119" i="23"/>
  <c r="E21" i="23"/>
  <c r="F21" i="23"/>
  <c r="G13" i="23"/>
  <c r="H13" i="23"/>
  <c r="K102" i="6"/>
  <c r="L102" i="6"/>
  <c r="C49" i="23"/>
  <c r="D49" i="23"/>
  <c r="E16" i="23"/>
  <c r="F16" i="23"/>
  <c r="D50" i="11"/>
  <c r="M11" i="23"/>
  <c r="AZ51" i="23"/>
  <c r="Q51" i="11"/>
  <c r="T23" i="23"/>
  <c r="T25" i="23"/>
  <c r="T24" i="23"/>
  <c r="AD95" i="11"/>
  <c r="AG50" i="11"/>
  <c r="AG51" i="11"/>
  <c r="W27" i="23"/>
  <c r="W29" i="23"/>
  <c r="W28" i="23"/>
  <c r="H51" i="11"/>
  <c r="S23" i="23"/>
  <c r="S25" i="23"/>
  <c r="S24" i="23"/>
  <c r="E24" i="23"/>
  <c r="F24" i="23"/>
  <c r="F51" i="23"/>
  <c r="F11" i="23"/>
  <c r="AY75" i="23"/>
  <c r="AB95" i="11"/>
  <c r="AS28" i="23"/>
  <c r="AH95" i="11"/>
  <c r="C13" i="23"/>
  <c r="D13" i="23"/>
  <c r="K205" i="8"/>
  <c r="L205" i="8"/>
  <c r="I48" i="23"/>
  <c r="J48" i="23"/>
  <c r="D27" i="23"/>
  <c r="AV37" i="23"/>
  <c r="S95" i="11"/>
  <c r="I36" i="23"/>
  <c r="J36" i="23"/>
  <c r="AT138" i="23"/>
  <c r="K28" i="23"/>
  <c r="L28" i="23"/>
  <c r="G33" i="23"/>
  <c r="H33" i="23"/>
  <c r="AD51" i="11"/>
  <c r="V35" i="23"/>
  <c r="V37" i="23"/>
  <c r="V36" i="23"/>
  <c r="K13" i="23"/>
  <c r="L13" i="23"/>
  <c r="C21" i="23"/>
  <c r="D21" i="23"/>
  <c r="J51" i="23"/>
  <c r="J11" i="23"/>
  <c r="BB142" i="23"/>
  <c r="G32" i="23"/>
  <c r="H32" i="23"/>
  <c r="G37" i="23"/>
  <c r="H37" i="23"/>
  <c r="H51" i="23"/>
  <c r="H11" i="23"/>
  <c r="AV142" i="23"/>
  <c r="AH50" i="11"/>
  <c r="AH51" i="11"/>
  <c r="W31" i="23"/>
  <c r="W32" i="23"/>
  <c r="W33" i="23"/>
  <c r="K70" i="8"/>
  <c r="L70" i="8"/>
  <c r="G49" i="23"/>
  <c r="H49" i="23"/>
  <c r="AC50" i="11"/>
  <c r="AC51" i="11"/>
  <c r="V31" i="23"/>
  <c r="V33" i="23"/>
  <c r="V32" i="23"/>
  <c r="U51" i="11"/>
  <c r="T47" i="23"/>
  <c r="T48" i="23"/>
  <c r="T49" i="23"/>
  <c r="K342" i="8"/>
  <c r="L342" i="8"/>
  <c r="K49" i="23"/>
  <c r="L49" i="23"/>
  <c r="K36" i="23"/>
  <c r="L36" i="23"/>
  <c r="D51" i="23"/>
  <c r="D23" i="23"/>
  <c r="AY37" i="23"/>
  <c r="Y51" i="11"/>
  <c r="U35" i="23"/>
  <c r="U36" i="23"/>
  <c r="U37" i="23"/>
  <c r="V50" i="11"/>
  <c r="V51" i="11"/>
  <c r="U11" i="23"/>
  <c r="U12" i="23"/>
  <c r="U13" i="23"/>
  <c r="W50" i="11"/>
  <c r="W51" i="11"/>
  <c r="U27" i="23"/>
  <c r="Z51" i="11"/>
  <c r="U47" i="23"/>
  <c r="U51" i="23"/>
  <c r="M50" i="11"/>
  <c r="N11" i="23"/>
  <c r="AZ116" i="23"/>
  <c r="L51" i="11"/>
  <c r="S47" i="23"/>
  <c r="S48" i="23"/>
  <c r="S49" i="23"/>
  <c r="F19" i="23"/>
  <c r="AY94" i="23"/>
  <c r="U29" i="23"/>
  <c r="U28" i="23"/>
  <c r="AX85" i="23"/>
  <c r="AY87" i="23"/>
  <c r="M95" i="11"/>
  <c r="AC95" i="11"/>
  <c r="K103" i="7"/>
  <c r="L103" i="7"/>
  <c r="E45" i="23"/>
  <c r="F45" i="23"/>
  <c r="Y95" i="11"/>
  <c r="C17" i="23"/>
  <c r="D17" i="23"/>
  <c r="F15" i="23"/>
  <c r="BB91" i="23"/>
  <c r="K96" i="6"/>
  <c r="L96" i="6"/>
  <c r="C44" i="23"/>
  <c r="D44" i="23"/>
  <c r="K91" i="6"/>
  <c r="L91" i="6"/>
  <c r="C40" i="23"/>
  <c r="D40" i="23"/>
  <c r="I32" i="23"/>
  <c r="J32" i="23"/>
  <c r="I28" i="23"/>
  <c r="J28" i="23"/>
  <c r="K108" i="7"/>
  <c r="L108" i="7"/>
  <c r="E49" i="23"/>
  <c r="F49" i="23"/>
  <c r="K92" i="6"/>
  <c r="L92" i="6"/>
  <c r="C41" i="23"/>
  <c r="D41" i="23"/>
  <c r="O51" i="11"/>
  <c r="T19" i="23"/>
  <c r="T20" i="23"/>
  <c r="T21" i="23"/>
  <c r="AI51" i="11"/>
  <c r="W35" i="23"/>
  <c r="W37" i="23"/>
  <c r="W36" i="23"/>
  <c r="P51" i="11"/>
  <c r="T27" i="23"/>
  <c r="T28" i="23"/>
  <c r="T29" i="23"/>
  <c r="AE51" i="11"/>
  <c r="V47" i="23"/>
  <c r="V49" i="23"/>
  <c r="V48" i="23"/>
  <c r="D51" i="11"/>
  <c r="S11" i="23"/>
  <c r="E51" i="11"/>
  <c r="S15" i="23"/>
  <c r="F51" i="11"/>
  <c r="S19" i="23"/>
  <c r="G50" i="11"/>
  <c r="G51" i="11"/>
  <c r="S27" i="23"/>
  <c r="J51" i="11"/>
  <c r="S39" i="23"/>
  <c r="K51" i="11"/>
  <c r="S43" i="23"/>
  <c r="S51" i="23"/>
  <c r="S13" i="23"/>
  <c r="S12" i="23"/>
  <c r="AJ51" i="11"/>
  <c r="W47" i="23"/>
  <c r="W48" i="23"/>
  <c r="W49" i="23"/>
  <c r="N50" i="11"/>
  <c r="N51" i="11"/>
  <c r="T15" i="23"/>
  <c r="T16" i="23"/>
  <c r="T17" i="23"/>
  <c r="I13" i="23"/>
  <c r="J13" i="23"/>
  <c r="AA50" i="11"/>
  <c r="AA51" i="11"/>
  <c r="V11" i="23"/>
  <c r="V12" i="23"/>
  <c r="AB50" i="11"/>
  <c r="AB51" i="11"/>
  <c r="V27" i="23"/>
  <c r="V51" i="23"/>
  <c r="V13" i="23"/>
  <c r="S51" i="11"/>
  <c r="T39" i="23"/>
  <c r="T40" i="23"/>
  <c r="T41" i="23"/>
  <c r="N19" i="23"/>
  <c r="AZ118" i="23"/>
  <c r="N20" i="23"/>
  <c r="N21" i="23"/>
  <c r="G12" i="23"/>
  <c r="H12" i="23"/>
  <c r="N15" i="23"/>
  <c r="AZ117" i="23"/>
  <c r="N16" i="23"/>
  <c r="N17" i="23"/>
  <c r="M19" i="23"/>
  <c r="M20" i="23"/>
  <c r="M21" i="23"/>
  <c r="AZ53" i="23"/>
  <c r="S40" i="23"/>
  <c r="S41" i="23"/>
  <c r="AX25" i="23"/>
  <c r="C25" i="23"/>
  <c r="D25" i="23"/>
  <c r="R51" i="11"/>
  <c r="T35" i="23"/>
  <c r="T37" i="23"/>
  <c r="T36" i="23"/>
  <c r="E20" i="23"/>
  <c r="F20" i="23"/>
  <c r="S16" i="23"/>
  <c r="S17" i="23"/>
  <c r="M51" i="11"/>
  <c r="T11" i="23"/>
  <c r="T51" i="11"/>
  <c r="T43" i="23"/>
  <c r="T51" i="23"/>
  <c r="T12" i="23"/>
  <c r="T13" i="23"/>
  <c r="K341" i="8"/>
  <c r="L341" i="8"/>
  <c r="K48" i="23"/>
  <c r="L48" i="23"/>
  <c r="E12" i="23"/>
  <c r="F12" i="23"/>
  <c r="U48" i="23"/>
  <c r="U49" i="23"/>
  <c r="S45" i="23"/>
  <c r="S44" i="23"/>
  <c r="S20" i="23"/>
  <c r="S21" i="23"/>
  <c r="AF50" i="11"/>
  <c r="AF51" i="11"/>
  <c r="W11" i="23"/>
  <c r="W12" i="23"/>
  <c r="W51" i="23"/>
  <c r="W13" i="23"/>
  <c r="M15" i="23"/>
  <c r="M16" i="23"/>
  <c r="M17" i="23"/>
  <c r="AZ52" i="23"/>
  <c r="E36" i="23"/>
  <c r="F36" i="23"/>
  <c r="C20" i="23"/>
  <c r="D20" i="23"/>
  <c r="C16" i="23"/>
  <c r="D16" i="23"/>
  <c r="V29" i="23"/>
  <c r="V28" i="23"/>
  <c r="X50" i="11"/>
  <c r="X51" i="11"/>
  <c r="U31" i="23"/>
  <c r="U32" i="23"/>
  <c r="U33" i="23"/>
  <c r="S28" i="23"/>
  <c r="S29" i="23"/>
  <c r="K102" i="7"/>
  <c r="L102" i="7"/>
  <c r="E44" i="23"/>
  <c r="F44" i="23"/>
  <c r="F27" i="23"/>
  <c r="AV101" i="23"/>
  <c r="K69" i="8"/>
  <c r="L69" i="8"/>
  <c r="G48" i="23"/>
  <c r="H48" i="23"/>
  <c r="AA95" i="11"/>
  <c r="T44" i="23"/>
  <c r="T45" i="23"/>
  <c r="M27" i="23"/>
  <c r="M28" i="23"/>
  <c r="M29" i="23"/>
  <c r="AZ54" i="23"/>
  <c r="F95" i="11"/>
  <c r="G28" i="23"/>
  <c r="H28" i="23"/>
  <c r="E29" i="23"/>
  <c r="F29" i="23"/>
  <c r="T95" i="11"/>
  <c r="K101" i="6"/>
  <c r="L101" i="6"/>
  <c r="C48" i="23"/>
  <c r="D48" i="23"/>
  <c r="C36" i="23"/>
  <c r="D36" i="23"/>
  <c r="C28" i="23"/>
  <c r="D28" i="23"/>
  <c r="I37" i="23"/>
  <c r="J37" i="23"/>
  <c r="K206" i="8"/>
  <c r="L206" i="8"/>
  <c r="I49" i="23"/>
  <c r="J49" i="23"/>
  <c r="K33" i="23"/>
  <c r="L33" i="23"/>
  <c r="K32" i="23"/>
  <c r="L32" i="23"/>
  <c r="AT136" i="23"/>
  <c r="H31" i="23"/>
  <c r="AV156" i="23"/>
  <c r="AZ174" i="23"/>
  <c r="AZ136" i="23"/>
  <c r="J95" i="11"/>
  <c r="X49" i="11"/>
  <c r="X46" i="11"/>
  <c r="X48" i="11"/>
  <c r="K49" i="11"/>
  <c r="K46" i="11"/>
  <c r="K48" i="11"/>
  <c r="AF49" i="11"/>
  <c r="AF48" i="11"/>
  <c r="AT149" i="23"/>
  <c r="AU42" i="23"/>
  <c r="G95" i="11"/>
  <c r="J27" i="23"/>
  <c r="BB150" i="23"/>
  <c r="BA173" i="23"/>
  <c r="AT147" i="23"/>
  <c r="AC49" i="11"/>
  <c r="AC46" i="11"/>
  <c r="AC48" i="11"/>
  <c r="J31" i="23"/>
  <c r="BB156" i="23"/>
  <c r="BA174" i="23"/>
  <c r="BH86" i="23"/>
  <c r="AJ95" i="11"/>
  <c r="O31" i="23"/>
  <c r="O32" i="23"/>
  <c r="O33" i="23"/>
  <c r="BF147" i="23"/>
  <c r="L27" i="23"/>
  <c r="BH150" i="23"/>
  <c r="BB173" i="23"/>
  <c r="AU147" i="23"/>
  <c r="AX146" i="23"/>
  <c r="Q27" i="23"/>
  <c r="Q28" i="23"/>
  <c r="Q29" i="23"/>
  <c r="D11" i="23"/>
  <c r="AY11" i="23"/>
  <c r="AZ161" i="23"/>
  <c r="E95" i="11"/>
  <c r="D47" i="23"/>
  <c r="BH31" i="23"/>
  <c r="BB87" i="23"/>
  <c r="U95" i="11"/>
  <c r="AU90" i="23"/>
  <c r="R95" i="11"/>
  <c r="D49" i="11"/>
  <c r="E49" i="11"/>
  <c r="F49" i="11"/>
  <c r="G49" i="11"/>
  <c r="H49" i="11"/>
  <c r="I49" i="11"/>
  <c r="J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Y49" i="11"/>
  <c r="Z49" i="11"/>
  <c r="AA49" i="11"/>
  <c r="AB49" i="11"/>
  <c r="AD49" i="11"/>
  <c r="AE49" i="11"/>
  <c r="AG49" i="11"/>
  <c r="AH49" i="11"/>
  <c r="AI49" i="11"/>
  <c r="AJ49" i="11"/>
  <c r="C49" i="11"/>
  <c r="D48" i="11"/>
  <c r="E48" i="11"/>
  <c r="F48" i="11"/>
  <c r="G48" i="11"/>
  <c r="H46" i="11"/>
  <c r="H48" i="11"/>
  <c r="I48" i="11"/>
  <c r="J46" i="11"/>
  <c r="J48" i="11"/>
  <c r="L46" i="11"/>
  <c r="L48" i="11"/>
  <c r="M48" i="11"/>
  <c r="N48" i="11"/>
  <c r="O48" i="11"/>
  <c r="P46" i="11"/>
  <c r="P48" i="11"/>
  <c r="Q48" i="11"/>
  <c r="R46" i="11"/>
  <c r="R48" i="11"/>
  <c r="S46" i="11"/>
  <c r="S48" i="11"/>
  <c r="T46" i="11"/>
  <c r="T48" i="11"/>
  <c r="U48" i="11"/>
  <c r="V48" i="11"/>
  <c r="W46" i="11"/>
  <c r="W48" i="11"/>
  <c r="Y46" i="11"/>
  <c r="Y48" i="11"/>
  <c r="Z48" i="11"/>
  <c r="AA48" i="11"/>
  <c r="AB46" i="11"/>
  <c r="AB48" i="11"/>
  <c r="AD46" i="11"/>
  <c r="AD48" i="11"/>
  <c r="AE48" i="11"/>
  <c r="AG46" i="11"/>
  <c r="AG48" i="11"/>
  <c r="AH46" i="11"/>
  <c r="AH48" i="11"/>
  <c r="AI46" i="11"/>
  <c r="AI48" i="11"/>
  <c r="AJ48" i="11"/>
  <c r="C48" i="11"/>
  <c r="BA23" i="23"/>
  <c r="O11" i="23"/>
  <c r="F39" i="23"/>
  <c r="BD96" i="23"/>
  <c r="F43" i="23"/>
  <c r="BH96" i="23"/>
  <c r="BD86" i="23"/>
  <c r="BA21" i="23"/>
  <c r="X95" i="11"/>
  <c r="Q11" i="23"/>
  <c r="F47" i="23"/>
  <c r="BF96" i="23"/>
  <c r="K107" i="7"/>
  <c r="L107" i="7"/>
  <c r="E48" i="23"/>
  <c r="F48" i="23"/>
  <c r="W95" i="11"/>
  <c r="BF22" i="23"/>
  <c r="BJ146" i="23"/>
  <c r="BF149" i="23"/>
  <c r="BD20" i="23"/>
  <c r="AS73" i="23"/>
  <c r="AU106" i="23"/>
  <c r="AS30" i="23"/>
  <c r="AE95" i="11"/>
  <c r="BF161" i="23"/>
  <c r="D46" i="11"/>
  <c r="F46" i="11"/>
  <c r="G46" i="11"/>
  <c r="I46" i="11"/>
  <c r="M46" i="11"/>
  <c r="O46" i="11"/>
  <c r="Q46" i="11"/>
  <c r="U46" i="11"/>
  <c r="V46" i="11"/>
  <c r="Z46" i="11"/>
  <c r="AA46" i="11"/>
  <c r="AE46" i="11"/>
  <c r="AF46" i="11"/>
  <c r="AJ46" i="11"/>
  <c r="C46" i="11"/>
  <c r="BB172" i="23"/>
  <c r="BF136" i="23"/>
  <c r="AX89" i="23"/>
  <c r="BF86" i="23"/>
  <c r="BH22" i="23"/>
  <c r="BF21" i="23"/>
  <c r="AS94" i="23"/>
  <c r="K95" i="11"/>
  <c r="P11" i="23"/>
  <c r="BA172" i="23"/>
  <c r="I29" i="23"/>
  <c r="J29" i="23"/>
  <c r="B575" i="22"/>
  <c r="P49" i="23"/>
  <c r="P48" i="23"/>
  <c r="P47" i="23"/>
  <c r="AI95" i="11"/>
  <c r="AZ147" i="23"/>
  <c r="AZ157" i="23"/>
  <c r="B571" i="22"/>
  <c r="D39" i="23"/>
  <c r="BD31" i="23"/>
  <c r="AS25" i="23"/>
  <c r="F23" i="23"/>
  <c r="AY101" i="23"/>
  <c r="N49" i="23"/>
  <c r="N48" i="23"/>
  <c r="N47" i="23"/>
  <c r="AZ124" i="23"/>
  <c r="AF49" i="23"/>
  <c r="AZ8" i="23"/>
  <c r="AT161" i="23"/>
  <c r="BH164" i="23"/>
  <c r="Q35" i="23"/>
  <c r="Q37" i="23"/>
  <c r="Q36" i="23"/>
  <c r="N45" i="23"/>
  <c r="N44" i="23"/>
  <c r="N43" i="23"/>
  <c r="AZ123" i="23"/>
  <c r="J35" i="23"/>
  <c r="BB162" i="23"/>
  <c r="BA175" i="23"/>
  <c r="M25" i="23"/>
  <c r="M24" i="23"/>
  <c r="M23" i="23"/>
  <c r="AZ55" i="23"/>
  <c r="AX47" i="23"/>
  <c r="M43" i="23"/>
  <c r="AZ58" i="23"/>
  <c r="M45" i="23"/>
  <c r="M44" i="23"/>
  <c r="Q31" i="23"/>
  <c r="Q32" i="23"/>
  <c r="Q33" i="23"/>
  <c r="D35" i="23"/>
  <c r="AV43" i="23"/>
  <c r="BF157" i="23"/>
  <c r="V95" i="11"/>
  <c r="BB164" i="23"/>
  <c r="P35" i="23"/>
  <c r="P37" i="23"/>
  <c r="P36" i="23"/>
  <c r="D43" i="23"/>
  <c r="BF31" i="23"/>
  <c r="AZ172" i="23"/>
  <c r="AT157" i="23"/>
  <c r="AZ149" i="23"/>
  <c r="BA85" i="23"/>
  <c r="BD22" i="23"/>
  <c r="Q95" i="11"/>
  <c r="O49" i="23"/>
  <c r="O48" i="23"/>
  <c r="O47" i="23"/>
  <c r="P31" i="23"/>
  <c r="P32" i="23"/>
  <c r="P33" i="23"/>
  <c r="L31" i="23"/>
  <c r="BH156" i="23"/>
  <c r="BB174" i="23"/>
  <c r="BG147" i="23"/>
  <c r="M37" i="23"/>
  <c r="M36" i="23"/>
  <c r="M35" i="23"/>
  <c r="AZ56" i="23"/>
  <c r="AV47" i="23"/>
  <c r="M41" i="23"/>
  <c r="M40" i="23"/>
  <c r="M39" i="23"/>
  <c r="AZ57" i="23"/>
  <c r="AU26" i="23"/>
  <c r="C45" i="11"/>
  <c r="G11" i="20"/>
  <c r="G8" i="20"/>
  <c r="F11" i="20"/>
  <c r="G10" i="20"/>
  <c r="P27" i="23"/>
  <c r="P28" i="23"/>
  <c r="P29" i="23"/>
  <c r="H47" i="23"/>
  <c r="AX155" i="23"/>
  <c r="AZ176" i="23"/>
  <c r="O95" i="11"/>
  <c r="H95" i="11"/>
  <c r="H35" i="23"/>
  <c r="AV162" i="23"/>
  <c r="AZ175" i="23"/>
  <c r="AV111" i="23"/>
  <c r="N35" i="23"/>
  <c r="AZ121" i="23"/>
  <c r="N37" i="23"/>
  <c r="N36" i="23"/>
  <c r="BD151" i="23"/>
  <c r="BD146" i="23"/>
  <c r="Q49" i="23"/>
  <c r="Q48" i="23"/>
  <c r="Q47" i="23"/>
  <c r="H27" i="23"/>
  <c r="AV150" i="23"/>
  <c r="AZ173" i="23"/>
  <c r="AY34" i="23"/>
  <c r="N39" i="23"/>
  <c r="AZ122" i="23"/>
  <c r="N41" i="23"/>
  <c r="N40" i="23"/>
  <c r="L95" i="11"/>
  <c r="M47" i="23"/>
  <c r="AZ59" i="23"/>
  <c r="M49" i="23"/>
  <c r="M48" i="23"/>
  <c r="J47" i="23"/>
  <c r="BD155" i="23"/>
  <c r="BA176" i="23"/>
  <c r="O37" i="23"/>
  <c r="O36" i="23"/>
  <c r="AV164" i="23"/>
  <c r="O35" i="23"/>
  <c r="BA147" i="23"/>
  <c r="O27" i="23"/>
  <c r="O28" i="23"/>
  <c r="O29" i="23"/>
  <c r="L47" i="23"/>
  <c r="BJ155" i="23"/>
  <c r="BB176" i="23"/>
  <c r="AX8" i="23"/>
  <c r="AG49" i="23"/>
  <c r="N25" i="23"/>
  <c r="N24" i="23"/>
  <c r="N23" i="23"/>
  <c r="AZ120" i="23"/>
  <c r="AX111" i="23"/>
  <c r="BD84" i="23"/>
  <c r="AS9" i="23"/>
  <c r="P95" i="11"/>
  <c r="F35" i="23"/>
  <c r="AV107" i="23"/>
  <c r="AY98" i="23"/>
  <c r="BB23" i="23"/>
  <c r="AY23" i="23"/>
  <c r="BA87" i="23"/>
  <c r="L35" i="23"/>
  <c r="BH162" i="23"/>
  <c r="BB175" i="23"/>
  <c r="BH147" i="23"/>
  <c r="BJ144" i="23"/>
  <c r="CX12" i="23"/>
  <c r="AU145" i="23"/>
  <c r="AV152" i="23"/>
  <c r="AU44" i="23"/>
  <c r="BH158" i="23"/>
  <c r="BB158" i="23"/>
  <c r="AX35" i="23"/>
  <c r="AS147" i="23"/>
  <c r="CK12" i="23"/>
  <c r="AT155" i="23"/>
  <c r="BW12" i="23"/>
  <c r="AU104" i="23"/>
  <c r="AU108" i="23"/>
  <c r="AU33" i="23"/>
  <c r="AX144" i="23"/>
  <c r="AV147" i="23"/>
  <c r="BA164" i="23"/>
  <c r="BH84" i="23"/>
  <c r="AS136" i="23"/>
  <c r="AU136" i="23"/>
  <c r="CJ12" i="23"/>
  <c r="AS89" i="23"/>
  <c r="CC12" i="23"/>
  <c r="AX95" i="23"/>
  <c r="BG136" i="23"/>
  <c r="BE136" i="23"/>
  <c r="CT12" i="23"/>
  <c r="BA136" i="23"/>
  <c r="CO12" i="23"/>
  <c r="AY136" i="23"/>
  <c r="CF12" i="23"/>
  <c r="AU21" i="23"/>
  <c r="BU12" i="23"/>
  <c r="AS26" i="23"/>
  <c r="BE157" i="23"/>
  <c r="BF153" i="23"/>
  <c r="AY157" i="23"/>
  <c r="AZ153" i="23"/>
  <c r="BH20" i="23"/>
  <c r="BY12" i="23"/>
  <c r="AY32" i="23"/>
  <c r="BV12" i="23"/>
  <c r="AT159" i="23"/>
  <c r="AU164" i="23"/>
  <c r="CM12" i="23"/>
  <c r="CN12" i="23"/>
  <c r="CR12" i="23"/>
  <c r="AZ159" i="23"/>
  <c r="CH12" i="23"/>
  <c r="BD144" i="23"/>
  <c r="BB147" i="23"/>
  <c r="BG164" i="23"/>
  <c r="BF20" i="23"/>
  <c r="AX23" i="23"/>
  <c r="BA27" i="23"/>
  <c r="AX87" i="23"/>
  <c r="AU97" i="23"/>
  <c r="AV158" i="23"/>
  <c r="BB152" i="23"/>
  <c r="AU23" i="23"/>
  <c r="CS12" i="23"/>
  <c r="AU85" i="23"/>
  <c r="CD12" i="23"/>
  <c r="AS90" i="23"/>
  <c r="BF159" i="23"/>
  <c r="CW12" i="23"/>
  <c r="AT153" i="23"/>
  <c r="AS157" i="23"/>
  <c r="BZ12" i="23"/>
  <c r="BA145" i="23"/>
  <c r="CP12" i="23"/>
  <c r="AZ155" i="23"/>
  <c r="AY147" i="23"/>
  <c r="BR12" i="23"/>
  <c r="AU10" i="23"/>
  <c r="AU87" i="23"/>
  <c r="BF84" i="23"/>
  <c r="AX21" i="23"/>
  <c r="BA91" i="23"/>
  <c r="AS24" i="23"/>
  <c r="AX99" i="23"/>
  <c r="AZ72" i="23"/>
  <c r="CA12" i="23"/>
  <c r="AU74" i="23"/>
  <c r="CG12" i="23"/>
  <c r="BG145" i="23"/>
  <c r="BH152" i="23"/>
  <c r="BE147" i="23"/>
  <c r="BF155" i="23"/>
  <c r="CU12" i="23"/>
  <c r="CI12" i="23"/>
  <c r="CE12" i="23"/>
  <c r="AX31" i="23"/>
  <c r="BT12" i="23"/>
  <c r="AS88" i="23"/>
  <c r="CB12" i="23"/>
  <c r="BX12" i="23"/>
  <c r="B659" i="22"/>
  <c r="L817" i="18"/>
  <c r="L816" i="18"/>
  <c r="O816" i="18"/>
  <c r="P816" i="18"/>
  <c r="N816" i="18"/>
  <c r="M817" i="18"/>
  <c r="M816" i="18"/>
  <c r="O817" i="18"/>
  <c r="N817" i="18"/>
  <c r="P817" i="18"/>
  <c r="B593" i="22"/>
  <c r="B660" i="22"/>
  <c r="N494" i="18"/>
  <c r="M494" i="18"/>
  <c r="M495" i="18"/>
  <c r="L495" i="18"/>
  <c r="N493" i="18"/>
  <c r="P493" i="18"/>
  <c r="O496" i="18"/>
  <c r="P498" i="18"/>
  <c r="L496" i="18"/>
  <c r="O494" i="18"/>
  <c r="O497" i="18"/>
  <c r="O498" i="18"/>
  <c r="P497" i="18"/>
  <c r="L494" i="18"/>
  <c r="P495" i="18"/>
  <c r="O493" i="18"/>
  <c r="N497" i="18"/>
  <c r="M498" i="18"/>
  <c r="B594" i="22"/>
  <c r="L493" i="18"/>
  <c r="M497" i="18"/>
  <c r="N495" i="18"/>
  <c r="P494" i="18"/>
  <c r="L498" i="18"/>
  <c r="L497" i="18"/>
  <c r="P496" i="18"/>
  <c r="O495" i="18"/>
  <c r="N498" i="18"/>
  <c r="N496" i="18"/>
  <c r="M493" i="18"/>
  <c r="M496" i="18"/>
  <c r="B661" i="22"/>
  <c r="AX72" i="23"/>
  <c r="B589" i="22"/>
  <c r="B663" i="22"/>
  <c r="L681" i="18"/>
  <c r="M680" i="18"/>
  <c r="L680" i="18"/>
  <c r="N680" i="18"/>
  <c r="O680" i="18"/>
  <c r="O681" i="18"/>
  <c r="P681" i="18"/>
  <c r="P680" i="18"/>
  <c r="N681" i="18"/>
  <c r="M681" i="18"/>
  <c r="B595" i="22"/>
  <c r="BA141" i="23"/>
  <c r="B588" i="22"/>
  <c r="AU141" i="23"/>
  <c r="B590" i="22"/>
  <c r="B662" i="22"/>
  <c r="L269" i="18"/>
  <c r="L271" i="18"/>
  <c r="N271" i="18"/>
  <c r="O268" i="18"/>
  <c r="O272" i="18"/>
  <c r="O270" i="18"/>
  <c r="M272" i="18"/>
  <c r="M268" i="18"/>
  <c r="P271" i="18"/>
  <c r="N269" i="18"/>
  <c r="M273" i="18"/>
  <c r="N272" i="18"/>
  <c r="P273" i="18"/>
  <c r="L272" i="18"/>
  <c r="O273" i="18"/>
  <c r="M270" i="18"/>
  <c r="L270" i="18"/>
  <c r="M271" i="18"/>
  <c r="L273" i="18"/>
  <c r="P268" i="18"/>
  <c r="N270" i="18"/>
  <c r="O269" i="18"/>
  <c r="P272" i="18"/>
  <c r="O271" i="18"/>
  <c r="M269" i="18"/>
  <c r="N273" i="18"/>
  <c r="L268" i="18"/>
  <c r="N268" i="18"/>
  <c r="P270" i="18"/>
  <c r="P269" i="18"/>
  <c r="B596" i="22"/>
  <c r="M953" i="18"/>
  <c r="O952" i="18"/>
  <c r="P952" i="18"/>
  <c r="M952" i="18"/>
  <c r="P953" i="18"/>
  <c r="L952" i="18"/>
  <c r="N953" i="18"/>
  <c r="L953" i="18"/>
  <c r="N952" i="18"/>
  <c r="O953" i="18"/>
  <c r="B597" i="22"/>
  <c r="BG141" i="23"/>
  <c r="B592" i="22"/>
  <c r="B591" i="22"/>
  <c r="B14" i="22"/>
  <c r="B323" i="22"/>
  <c r="B210" i="22"/>
  <c r="P13" i="23"/>
  <c r="P12" i="23"/>
  <c r="O827" i="18"/>
  <c r="P828" i="18"/>
  <c r="B371" i="22"/>
  <c r="M827" i="18"/>
  <c r="B370" i="22"/>
  <c r="B388" i="22"/>
  <c r="B550" i="22"/>
  <c r="P827" i="18"/>
  <c r="L828" i="18"/>
  <c r="B407" i="22"/>
  <c r="N827" i="18"/>
  <c r="L827" i="18"/>
  <c r="O828" i="18"/>
  <c r="M828" i="18"/>
  <c r="N828" i="18"/>
  <c r="O13" i="23"/>
  <c r="O12" i="23"/>
  <c r="N692" i="18"/>
  <c r="N691" i="18"/>
  <c r="L691" i="18"/>
  <c r="O692" i="18"/>
  <c r="O691" i="18"/>
  <c r="B420" i="22"/>
  <c r="B379" i="22"/>
  <c r="B552" i="22"/>
  <c r="M691" i="18"/>
  <c r="P691" i="18"/>
  <c r="B390" i="22"/>
  <c r="L692" i="18"/>
  <c r="M692" i="18"/>
  <c r="P692" i="18"/>
  <c r="B378" i="22"/>
  <c r="B211" i="22"/>
  <c r="B324" i="22"/>
  <c r="B15" i="22"/>
  <c r="N13" i="23"/>
  <c r="N12" i="23"/>
  <c r="N513" i="18"/>
  <c r="M512" i="18"/>
  <c r="B374" i="22"/>
  <c r="L513" i="18"/>
  <c r="B372" i="22"/>
  <c r="B377" i="22"/>
  <c r="B411" i="22"/>
  <c r="P513" i="18"/>
  <c r="B373" i="22"/>
  <c r="M513" i="18"/>
  <c r="P512" i="18"/>
  <c r="B389" i="22"/>
  <c r="B375" i="22"/>
  <c r="O513" i="18"/>
  <c r="L512" i="18"/>
  <c r="N512" i="18"/>
  <c r="B376" i="22"/>
  <c r="O512" i="18"/>
  <c r="B551" i="22"/>
  <c r="M826" i="18"/>
  <c r="O826" i="18"/>
  <c r="N826" i="18"/>
  <c r="P826" i="18"/>
  <c r="L826" i="18"/>
  <c r="P690" i="18"/>
  <c r="N690" i="18"/>
  <c r="M690" i="18"/>
  <c r="L690" i="18"/>
  <c r="O690" i="18"/>
  <c r="B212" i="22"/>
  <c r="B325" i="22"/>
  <c r="B16" i="22"/>
  <c r="BF91" i="23"/>
  <c r="B834" i="22"/>
  <c r="B825" i="22"/>
  <c r="C29" i="23"/>
  <c r="D29" i="23"/>
  <c r="B5" i="22"/>
  <c r="B8" i="22"/>
  <c r="B7" i="22"/>
  <c r="BH111" i="23"/>
  <c r="B676" i="22"/>
  <c r="B446" i="22"/>
  <c r="B750" i="22"/>
  <c r="AX164" i="23"/>
  <c r="B681" i="22"/>
  <c r="B755" i="22"/>
  <c r="B475" i="22"/>
  <c r="B836" i="22"/>
  <c r="B6" i="22"/>
  <c r="B2" i="22"/>
  <c r="B318" i="22"/>
  <c r="B313" i="22"/>
  <c r="B214" i="22"/>
  <c r="B327" i="22"/>
  <c r="B18" i="22"/>
  <c r="B17" i="22"/>
  <c r="B213" i="22"/>
  <c r="B326" i="22"/>
  <c r="M12" i="23"/>
  <c r="M13" i="23"/>
  <c r="B381" i="22"/>
  <c r="N287" i="18"/>
  <c r="N288" i="18"/>
  <c r="L288" i="18"/>
  <c r="L287" i="18"/>
  <c r="M287" i="18"/>
  <c r="B391" i="22"/>
  <c r="B384" i="22"/>
  <c r="B383" i="22"/>
  <c r="M288" i="18"/>
  <c r="B426" i="22"/>
  <c r="P287" i="18"/>
  <c r="B382" i="22"/>
  <c r="B385" i="22"/>
  <c r="O287" i="18"/>
  <c r="B380" i="22"/>
  <c r="P288" i="18"/>
  <c r="O288" i="18"/>
  <c r="B553" i="22"/>
  <c r="BD111" i="23"/>
  <c r="B748" i="22"/>
  <c r="B440" i="22"/>
  <c r="B674" i="22"/>
  <c r="B826" i="22"/>
  <c r="BH91" i="23"/>
  <c r="B315" i="22"/>
  <c r="B320" i="22"/>
  <c r="B319" i="22"/>
  <c r="B314" i="22"/>
  <c r="BJ164" i="23"/>
  <c r="B478" i="22"/>
  <c r="B682" i="22"/>
  <c r="B756" i="22"/>
  <c r="B827" i="22"/>
  <c r="Q12" i="23"/>
  <c r="Q13" i="23"/>
  <c r="B434" i="22"/>
  <c r="B387" i="22"/>
  <c r="M964" i="18"/>
  <c r="O963" i="18"/>
  <c r="P963" i="18"/>
  <c r="N964" i="18"/>
  <c r="O964" i="18"/>
  <c r="P964" i="18"/>
  <c r="N963" i="18"/>
  <c r="M963" i="18"/>
  <c r="L964" i="18"/>
  <c r="L963" i="18"/>
  <c r="B392" i="22"/>
  <c r="B554" i="22"/>
  <c r="B386" i="22"/>
  <c r="BD164" i="23"/>
  <c r="B680" i="22"/>
  <c r="B754" i="22"/>
  <c r="B458" i="22"/>
  <c r="P962" i="18"/>
  <c r="O962" i="18"/>
  <c r="M962" i="18"/>
  <c r="L962" i="18"/>
  <c r="N962" i="18"/>
  <c r="M286" i="18"/>
  <c r="P286" i="18"/>
  <c r="L286" i="18"/>
  <c r="N286" i="18"/>
  <c r="O286" i="18"/>
  <c r="M511" i="18"/>
  <c r="N511" i="18"/>
  <c r="L511" i="18"/>
  <c r="P511" i="18"/>
  <c r="O511" i="18"/>
  <c r="B829" i="22"/>
  <c r="B835" i="22"/>
  <c r="B831" i="22"/>
  <c r="B3" i="22"/>
  <c r="B4" i="22"/>
  <c r="B832" i="22"/>
  <c r="B483" i="22"/>
  <c r="B572" i="22"/>
  <c r="B576" i="22"/>
  <c r="B507" i="22"/>
  <c r="B578" i="22"/>
  <c r="B502" i="22"/>
  <c r="B573" i="22"/>
  <c r="B530" i="22"/>
  <c r="B581" i="22"/>
  <c r="B525" i="22"/>
  <c r="B493" i="22"/>
  <c r="B498" i="22"/>
  <c r="B513" i="22"/>
  <c r="B479" i="22"/>
  <c r="B580" i="22"/>
  <c r="B521" i="22"/>
  <c r="B579" i="22"/>
  <c r="B517" i="22"/>
  <c r="B577" i="22"/>
  <c r="B582" i="22"/>
  <c r="B574" i="22"/>
  <c r="B487" i="22"/>
  <c r="B822" i="22"/>
  <c r="B820" i="22"/>
  <c r="B824" i="22"/>
  <c r="B830" i="22"/>
  <c r="B833" i="22"/>
  <c r="B828" i="22"/>
  <c r="BF111" i="23"/>
  <c r="B678" i="22"/>
  <c r="B452" i="22"/>
  <c r="B752" i="22"/>
  <c r="B823" i="22"/>
  <c r="B819" i="22"/>
  <c r="B821" i="22"/>
  <c r="B202" i="22"/>
  <c r="BF27" i="23"/>
  <c r="B205" i="22"/>
  <c r="BF47" i="23"/>
  <c r="B679" i="22"/>
  <c r="B753" i="22"/>
  <c r="B455" i="22"/>
  <c r="B321" i="22"/>
  <c r="B316" i="22"/>
  <c r="BH47" i="23"/>
  <c r="B449" i="22"/>
  <c r="B677" i="22"/>
  <c r="B751" i="22"/>
  <c r="B317" i="22"/>
  <c r="B322" i="22"/>
  <c r="B203" i="22"/>
  <c r="B356" i="22"/>
  <c r="B657" i="22"/>
  <c r="B542" i="22"/>
  <c r="B347" i="22"/>
  <c r="B647" i="22"/>
  <c r="B340" i="22"/>
  <c r="B342" i="22"/>
  <c r="B349" i="22"/>
  <c r="B353" i="22"/>
  <c r="B645" i="22"/>
  <c r="B643" i="22"/>
  <c r="B541" i="22"/>
  <c r="B351" i="22"/>
  <c r="B344" i="22"/>
  <c r="B540" i="22"/>
  <c r="B355" i="22"/>
  <c r="B346" i="22"/>
  <c r="B656" i="22"/>
  <c r="B348" i="22"/>
  <c r="B357" i="22"/>
  <c r="B544" i="22"/>
  <c r="B658" i="22"/>
  <c r="D95" i="11"/>
  <c r="BH27" i="23"/>
  <c r="BD47" i="23"/>
  <c r="B675" i="22"/>
  <c r="B749" i="22"/>
  <c r="B443" i="22"/>
  <c r="AY96" i="23"/>
  <c r="BD91" i="23"/>
  <c r="B689" i="22"/>
  <c r="B654" i="22"/>
  <c r="B652" i="22"/>
  <c r="B204" i="22"/>
  <c r="B201" i="22"/>
  <c r="B651" i="22"/>
  <c r="B207" i="22"/>
  <c r="AX151" i="23"/>
  <c r="B690" i="22"/>
  <c r="B758" i="22"/>
  <c r="N232" i="18"/>
  <c r="O232" i="18"/>
  <c r="M232" i="18"/>
  <c r="B361" i="22"/>
  <c r="P232" i="18"/>
  <c r="L232" i="18"/>
  <c r="W15" i="20"/>
  <c r="AU40" i="23"/>
  <c r="B649" i="22"/>
  <c r="BJ151" i="23"/>
  <c r="B692" i="22"/>
  <c r="B547" i="22"/>
  <c r="B549" i="22"/>
  <c r="B546" i="22"/>
  <c r="B548" i="22"/>
  <c r="B545" i="22"/>
  <c r="I15" i="20"/>
  <c r="B759" i="22"/>
  <c r="M463" i="18"/>
  <c r="O463" i="18"/>
  <c r="L463" i="18"/>
  <c r="N463" i="18"/>
  <c r="B363" i="22"/>
  <c r="P463" i="18"/>
  <c r="B650" i="22"/>
  <c r="B655" i="22"/>
  <c r="B688" i="22"/>
  <c r="B359" i="22"/>
  <c r="V15" i="20"/>
  <c r="Y15" i="20"/>
  <c r="M15" i="20"/>
  <c r="B644" i="22"/>
  <c r="B343" i="22"/>
  <c r="B648" i="22"/>
  <c r="B543" i="22"/>
  <c r="B350" i="22"/>
  <c r="B345" i="22"/>
  <c r="B352" i="22"/>
  <c r="B341" i="22"/>
  <c r="B354" i="22"/>
  <c r="B646" i="22"/>
  <c r="B206" i="22"/>
  <c r="N793" i="18"/>
  <c r="P793" i="18"/>
  <c r="B362" i="22"/>
  <c r="M793" i="18"/>
  <c r="O793" i="18"/>
  <c r="L793" i="18"/>
  <c r="B763" i="22"/>
  <c r="L930" i="18"/>
  <c r="O930" i="18"/>
  <c r="B369" i="22"/>
  <c r="P930" i="18"/>
  <c r="M930" i="18"/>
  <c r="N930" i="18"/>
  <c r="B761" i="22"/>
  <c r="M794" i="18"/>
  <c r="P794" i="18"/>
  <c r="O794" i="18"/>
  <c r="L794" i="18"/>
  <c r="B367" i="22"/>
  <c r="N794" i="18"/>
  <c r="N657" i="18"/>
  <c r="M657" i="18"/>
  <c r="L657" i="18"/>
  <c r="P657" i="18"/>
  <c r="O657" i="18"/>
  <c r="B364" i="22"/>
  <c r="B366" i="22"/>
  <c r="N929" i="18"/>
  <c r="L929" i="18"/>
  <c r="M929" i="18"/>
  <c r="O929" i="18"/>
  <c r="P929" i="18"/>
  <c r="B459" i="22"/>
  <c r="B563" i="22"/>
  <c r="B564" i="22"/>
  <c r="B565" i="22"/>
  <c r="B566" i="22"/>
  <c r="B463" i="22"/>
  <c r="B469" i="22"/>
  <c r="B461" i="22"/>
  <c r="B467" i="22"/>
  <c r="B562" i="22"/>
  <c r="B465" i="22"/>
  <c r="B568" i="22"/>
  <c r="B567" i="22"/>
  <c r="B471" i="22"/>
  <c r="B757" i="22"/>
  <c r="O457" i="18"/>
  <c r="M457" i="18"/>
  <c r="P457" i="18"/>
  <c r="N457" i="18"/>
  <c r="L457" i="18"/>
  <c r="B360" i="22"/>
  <c r="B653" i="22"/>
  <c r="B760" i="22"/>
  <c r="M238" i="18"/>
  <c r="P238" i="18"/>
  <c r="L238" i="18"/>
  <c r="N238" i="18"/>
  <c r="B365" i="22"/>
  <c r="O238" i="18"/>
  <c r="L451" i="18"/>
  <c r="O451" i="18"/>
  <c r="B358" i="22"/>
  <c r="N451" i="18"/>
  <c r="P451" i="18"/>
  <c r="M451" i="18"/>
  <c r="B762" i="22"/>
  <c r="N658" i="18"/>
  <c r="L658" i="18"/>
  <c r="O658" i="18"/>
  <c r="P658" i="18"/>
  <c r="B368" i="22"/>
  <c r="M658" i="18"/>
  <c r="O226" i="18"/>
  <c r="M226" i="18"/>
  <c r="P226" i="18"/>
  <c r="N226" i="18"/>
  <c r="L226" i="18"/>
  <c r="BD27" i="23"/>
  <c r="B691" i="22"/>
  <c r="P15" i="20"/>
  <c r="AH15" i="20"/>
  <c r="AM15" i="20"/>
  <c r="Z15" i="20"/>
  <c r="AS75" i="23"/>
  <c r="O15" i="20"/>
  <c r="J15" i="20"/>
  <c r="AC15" i="20"/>
  <c r="K74" i="3"/>
  <c r="K75" i="3"/>
  <c r="X15" i="20"/>
  <c r="R15" i="20"/>
  <c r="S15" i="20"/>
  <c r="AD15" i="20"/>
  <c r="AJ15" i="20"/>
  <c r="G15" i="20"/>
  <c r="B620" i="22"/>
  <c r="B635" i="22"/>
  <c r="B638" i="22"/>
  <c r="B636" i="22"/>
  <c r="B639" i="22"/>
  <c r="B641" i="22"/>
  <c r="B637" i="22"/>
  <c r="B642" i="22"/>
  <c r="B640" i="22"/>
  <c r="B629" i="22"/>
  <c r="B615" i="22"/>
  <c r="B621" i="22"/>
  <c r="B616" i="22"/>
  <c r="B630" i="22"/>
  <c r="B623" i="22"/>
  <c r="B622" i="22"/>
  <c r="B618" i="22"/>
  <c r="B617" i="22"/>
  <c r="B619" i="22"/>
  <c r="B624" i="22"/>
  <c r="B626" i="22"/>
  <c r="B628" i="22"/>
  <c r="B627" i="22"/>
  <c r="B625" i="22"/>
  <c r="B632" i="22"/>
  <c r="B631" i="22"/>
  <c r="B633" i="22"/>
  <c r="B634" i="22"/>
  <c r="B473" i="22"/>
  <c r="B476" i="22"/>
  <c r="B444" i="22"/>
  <c r="B450" i="22"/>
  <c r="B456" i="22"/>
  <c r="B438" i="22"/>
  <c r="B441" i="22"/>
  <c r="B447" i="22"/>
  <c r="B453" i="22"/>
  <c r="B557" i="22"/>
  <c r="B569" i="22"/>
  <c r="B561" i="22"/>
  <c r="B560" i="22"/>
  <c r="B570" i="22"/>
  <c r="B556" i="22"/>
  <c r="B558" i="22"/>
  <c r="B555" i="22"/>
  <c r="B559" i="22"/>
  <c r="AI15" i="20"/>
  <c r="AE15" i="20"/>
  <c r="N15" i="20"/>
  <c r="BJ35" i="23"/>
  <c r="AS29" i="23"/>
  <c r="AC49" i="23"/>
  <c r="AS11" i="23"/>
  <c r="BJ99" i="23"/>
  <c r="I21" i="16"/>
  <c r="I20" i="16"/>
  <c r="BJ98" i="23"/>
  <c r="AX161" i="23"/>
  <c r="I31" i="16"/>
  <c r="I12" i="16"/>
  <c r="I13" i="16"/>
  <c r="I18" i="16"/>
  <c r="I10" i="16"/>
  <c r="BJ100" i="23"/>
  <c r="I19" i="16"/>
  <c r="BJ161" i="23"/>
  <c r="I33" i="16"/>
  <c r="BJ34" i="23"/>
  <c r="I23" i="16"/>
  <c r="BJ36" i="23"/>
  <c r="I11" i="16"/>
  <c r="I27" i="16"/>
  <c r="AZ138" i="23"/>
  <c r="BF138" i="23"/>
  <c r="I32" i="16"/>
  <c r="B610" i="22"/>
  <c r="B605" i="22"/>
  <c r="B608" i="22"/>
  <c r="B603" i="22"/>
  <c r="B606" i="22"/>
  <c r="B604" i="22"/>
  <c r="I7" i="16"/>
  <c r="J37" i="3"/>
  <c r="K37" i="3"/>
  <c r="L37" i="3"/>
  <c r="L64" i="3"/>
  <c r="K56" i="3"/>
  <c r="K47" i="3"/>
  <c r="L54" i="3"/>
  <c r="K58" i="3"/>
  <c r="L63" i="3"/>
  <c r="K55" i="3"/>
  <c r="L42" i="3"/>
  <c r="K62" i="3"/>
  <c r="L53" i="3"/>
  <c r="L51" i="3"/>
  <c r="K61" i="3"/>
  <c r="K44" i="3"/>
  <c r="K63" i="3"/>
  <c r="K64" i="3"/>
  <c r="K59" i="3"/>
  <c r="K51" i="3"/>
  <c r="K42" i="3"/>
  <c r="L52" i="3"/>
  <c r="K46" i="3"/>
  <c r="L62" i="3"/>
  <c r="L48" i="3"/>
  <c r="K54" i="3"/>
  <c r="K53" i="3"/>
  <c r="K52" i="3"/>
  <c r="L60" i="3"/>
  <c r="K49" i="3"/>
  <c r="L61" i="3"/>
  <c r="L46" i="3"/>
  <c r="K50" i="3"/>
  <c r="K60" i="3"/>
  <c r="L59" i="3"/>
  <c r="K43" i="3"/>
  <c r="L57" i="3"/>
  <c r="L50" i="3"/>
  <c r="L55" i="3"/>
  <c r="L58" i="3"/>
  <c r="K57" i="3"/>
  <c r="K48" i="3"/>
  <c r="L47" i="3"/>
  <c r="L56" i="3"/>
  <c r="I25" i="16"/>
  <c r="I24" i="16"/>
  <c r="I17" i="16"/>
  <c r="BD161" i="23"/>
  <c r="I29" i="16"/>
  <c r="I28" i="16"/>
  <c r="I16" i="16"/>
  <c r="I15" i="16"/>
  <c r="A6" i="2"/>
  <c r="R6" i="2"/>
  <c r="K6" i="2"/>
  <c r="J6" i="2"/>
  <c r="N6" i="2"/>
  <c r="Y6" i="2"/>
  <c r="Q6" i="2"/>
  <c r="C6" i="2"/>
  <c r="U6" i="2"/>
  <c r="W6" i="2"/>
  <c r="F6" i="2"/>
  <c r="T6" i="2"/>
  <c r="O6" i="2"/>
  <c r="L6" i="2"/>
  <c r="I6" i="2"/>
  <c r="X6" i="2"/>
  <c r="E6" i="2"/>
  <c r="BQ12" i="23"/>
  <c r="G6" i="2"/>
  <c r="D6" i="2"/>
  <c r="BP12" i="23"/>
  <c r="Z6" i="2"/>
  <c r="S6" i="2"/>
  <c r="B6" i="2"/>
  <c r="P6" i="2"/>
  <c r="V6" i="2"/>
  <c r="M6" i="2"/>
  <c r="H6" i="2"/>
  <c r="I8" i="16"/>
  <c r="J22" i="3"/>
  <c r="L22" i="3"/>
  <c r="J44" i="3"/>
  <c r="I9" i="16"/>
  <c r="B537" i="22"/>
  <c r="B535" i="22"/>
  <c r="B536" i="22"/>
  <c r="B539" i="22"/>
  <c r="B538" i="22"/>
  <c r="J59" i="3"/>
  <c r="J58" i="3"/>
  <c r="I52" i="3"/>
  <c r="J55" i="3"/>
  <c r="J46" i="3"/>
  <c r="I63" i="3"/>
  <c r="I42" i="3"/>
  <c r="J53" i="3"/>
  <c r="J57" i="3"/>
  <c r="J47" i="3"/>
  <c r="I59" i="3"/>
  <c r="I43" i="3"/>
  <c r="J54" i="3"/>
  <c r="J61" i="3"/>
  <c r="I54" i="3"/>
  <c r="J51" i="3"/>
  <c r="J64" i="3"/>
  <c r="I61" i="3"/>
  <c r="J60" i="3"/>
  <c r="I60" i="3"/>
  <c r="J63" i="3"/>
  <c r="J50" i="3"/>
  <c r="I51" i="3"/>
  <c r="J48" i="3"/>
  <c r="I56" i="3"/>
  <c r="I44" i="3"/>
  <c r="J52" i="3"/>
  <c r="I64" i="3"/>
  <c r="I48" i="3"/>
  <c r="J43" i="3"/>
  <c r="I46" i="3"/>
  <c r="L49" i="3"/>
  <c r="I53" i="3"/>
  <c r="J62" i="3"/>
  <c r="I49" i="3"/>
  <c r="I47" i="3"/>
  <c r="I58" i="3"/>
  <c r="J42" i="3"/>
  <c r="I57" i="3"/>
  <c r="I55" i="3"/>
  <c r="I50" i="3"/>
  <c r="J49" i="3"/>
  <c r="J56" i="3"/>
  <c r="I62" i="3"/>
  <c r="L445" i="18"/>
  <c r="N786" i="18"/>
  <c r="M652" i="18"/>
  <c r="N447" i="18"/>
  <c r="O447" i="18"/>
  <c r="L924" i="18"/>
  <c r="P222" i="18"/>
  <c r="L650" i="18"/>
  <c r="L447" i="18"/>
  <c r="P786" i="18"/>
  <c r="P445" i="18"/>
  <c r="L788" i="18"/>
  <c r="N652" i="18"/>
  <c r="L220" i="18"/>
  <c r="B721" i="22"/>
  <c r="P652" i="18"/>
  <c r="N445" i="18"/>
  <c r="N922" i="18"/>
  <c r="L222" i="18"/>
  <c r="P447" i="18"/>
  <c r="O220" i="18"/>
  <c r="N924" i="18"/>
  <c r="B723" i="22"/>
  <c r="L786" i="18"/>
  <c r="N220" i="18"/>
  <c r="O922" i="18"/>
  <c r="M650" i="18"/>
  <c r="M786" i="18"/>
  <c r="M922" i="18"/>
  <c r="M445" i="18"/>
  <c r="L922" i="18"/>
  <c r="O786" i="18"/>
  <c r="B722" i="22"/>
  <c r="M222" i="18"/>
  <c r="O222" i="18"/>
  <c r="L652" i="18"/>
  <c r="P650" i="18"/>
  <c r="P922" i="18"/>
  <c r="B724" i="22"/>
  <c r="N650" i="18"/>
  <c r="M447" i="18"/>
  <c r="M788" i="18"/>
  <c r="M220" i="18"/>
  <c r="N788" i="18"/>
  <c r="B725" i="22"/>
  <c r="O445" i="18"/>
  <c r="P788" i="18"/>
  <c r="M924" i="18"/>
  <c r="O788" i="18"/>
  <c r="O650" i="18"/>
  <c r="N222" i="18"/>
  <c r="O924" i="18"/>
  <c r="P220" i="18"/>
  <c r="O652" i="18"/>
  <c r="B401" i="22"/>
  <c r="P924" i="18"/>
  <c r="B208" i="22"/>
  <c r="B696" i="22"/>
  <c r="B699" i="22"/>
  <c r="B209" i="22"/>
  <c r="B698" i="22"/>
  <c r="B694" i="22"/>
  <c r="B702" i="22"/>
  <c r="B701" i="22"/>
  <c r="B695" i="22"/>
  <c r="B693" i="22"/>
  <c r="B700" i="22"/>
  <c r="K156" i="3"/>
  <c r="L156" i="3"/>
  <c r="B697" i="22"/>
  <c r="K155" i="3"/>
  <c r="L155" i="3"/>
  <c r="K19" i="3"/>
  <c r="K17" i="3"/>
  <c r="B333" i="22"/>
  <c r="B334" i="22"/>
  <c r="B328" i="22"/>
  <c r="B338" i="22"/>
  <c r="B336" i="22"/>
  <c r="B339" i="22"/>
  <c r="B331" i="22"/>
  <c r="B335" i="22"/>
  <c r="B332" i="22"/>
  <c r="B329" i="22"/>
  <c r="B330" i="22"/>
  <c r="B337" i="22"/>
  <c r="C5" i="23"/>
  <c r="BO12" i="23"/>
  <c r="F5" i="20"/>
  <c r="K6" i="3"/>
  <c r="AB5" i="23"/>
  <c r="BO5" i="23"/>
  <c r="AY132" i="23"/>
  <c r="P17" i="3"/>
  <c r="I17" i="18"/>
  <c r="AY3" i="23"/>
  <c r="AY67" i="23"/>
  <c r="BN1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<sst xmlns="http://schemas.openxmlformats.org/spreadsheetml/2006/main" count="14981" uniqueCount="4056">
  <si>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</si>
  <si>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</si>
  <si>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</si>
  <si>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</si>
  <si>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</si>
  <si>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</si>
  <si>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</si>
  <si>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</si>
  <si>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</si>
  <si>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</si>
  <si>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</si>
  <si>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</si>
  <si>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</si>
  <si>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</si>
  <si>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</si>
  <si>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</si>
  <si>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</si>
  <si>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</si>
  <si>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</si>
  <si>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</si>
  <si>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</si>
  <si>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</si>
  <si>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</si>
  <si>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</si>
  <si>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</si>
  <si>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</si>
  <si>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</si>
  <si>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</si>
  <si>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</si>
  <si>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</si>
  <si>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</si>
  <si>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</si>
  <si>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</si>
  <si>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</si>
  <si>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</si>
  <si>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</si>
  <si>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</si>
  <si>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</si>
  <si>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</si>
  <si>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</si>
  <si>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</si>
  <si>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</si>
  <si>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</si>
  <si>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</si>
  <si>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</si>
  <si>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</si>
  <si>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</si>
  <si>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</si>
  <si>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</si>
  <si>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</si>
  <si>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</si>
  <si>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</si>
  <si>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</si>
  <si>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</si>
  <si>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</si>
  <si>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</si>
  <si>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</si>
  <si>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</si>
  <si>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</si>
  <si>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</si>
  <si>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</si>
  <si>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</si>
  <si>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</si>
  <si>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</si>
  <si>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</si>
  <si>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</si>
  <si>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</si>
  <si>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</si>
  <si>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</si>
  <si>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</si>
  <si>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</si>
  <si>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</si>
  <si>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</si>
  <si>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</si>
  <si>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</si>
  <si>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</si>
  <si>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</si>
  <si>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</si>
  <si>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</si>
  <si>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</si>
  <si>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</si>
  <si>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</si>
  <si>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</si>
  <si>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</si>
  <si>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</si>
  <si>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</si>
  <si>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</si>
  <si>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</si>
  <si>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</si>
  <si>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</si>
  <si>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</si>
  <si>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</si>
  <si>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</si>
  <si>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</si>
  <si>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</si>
  <si>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</si>
  <si>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</si>
  <si>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</si>
  <si>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</si>
  <si>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</si>
  <si>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</si>
  <si>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</si>
  <si>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</si>
  <si>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</si>
  <si>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</si>
  <si>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</si>
  <si>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</si>
  <si>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</si>
  <si>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</si>
  <si>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</si>
  <si>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</si>
  <si>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</si>
  <si>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</si>
  <si>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</si>
  <si>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</si>
  <si>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</si>
  <si>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</si>
  <si>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</si>
  <si>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</si>
  <si>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</si>
  <si>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</si>
  <si>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</si>
  <si>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</si>
  <si>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</si>
  <si>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</si>
  <si>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</si>
  <si>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</si>
  <si>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</si>
  <si>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</si>
  <si>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</si>
  <si>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</si>
  <si>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</si>
  <si>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</si>
  <si>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</si>
  <si>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</si>
  <si>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</si>
  <si>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</si>
  <si>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</si>
  <si>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</si>
  <si>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</si>
  <si>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</si>
  <si>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</si>
  <si>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</si>
  <si>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</si>
  <si>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</si>
  <si>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</si>
  <si>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</si>
  <si>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</si>
  <si>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</si>
  <si>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</si>
  <si>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</si>
  <si>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</si>
  <si>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</si>
  <si>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</si>
  <si>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</si>
  <si>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</si>
  <si>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</si>
  <si>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</si>
  <si>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</si>
  <si>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</si>
  <si>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</si>
  <si>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</si>
  <si>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</si>
  <si>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</si>
  <si>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</si>
  <si>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</si>
  <si>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</si>
  <si>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</si>
  <si>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</si>
  <si>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</si>
  <si>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</si>
  <si>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</si>
  <si>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</si>
  <si>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</si>
  <si>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</si>
  <si>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</si>
  <si>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</si>
  <si>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</si>
  <si>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</si>
  <si>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</si>
  <si>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</si>
  <si>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</si>
  <si>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</si>
  <si>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</si>
  <si>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</si>
  <si>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</si>
  <si>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</si>
  <si>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</si>
  <si>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</si>
  <si>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</si>
  <si>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</si>
  <si>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</si>
  <si>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</si>
  <si>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</si>
  <si>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</si>
  <si>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</si>
  <si>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</si>
  <si>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</si>
  <si>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</si>
  <si>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</si>
  <si>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</si>
  <si>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</si>
  <si>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</si>
  <si>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</si>
  <si>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</si>
  <si>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</si>
  <si>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</si>
  <si>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</si>
  <si>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</si>
  <si>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</si>
  <si>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</si>
  <si>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</si>
  <si>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</si>
  <si>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</si>
  <si>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</si>
  <si>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</si>
  <si>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</si>
  <si>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</si>
  <si>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</si>
  <si>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</si>
  <si>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</si>
  <si>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</si>
  <si>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</si>
  <si>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</si>
  <si>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</si>
  <si>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</si>
  <si>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</si>
  <si>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</si>
  <si>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</si>
  <si>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</si>
  <si>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</si>
  <si>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</si>
  <si>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</si>
  <si>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</si>
  <si>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</si>
  <si>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</si>
  <si>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</si>
  <si>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</si>
  <si>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</si>
  <si>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</si>
  <si>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</si>
  <si>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</si>
  <si>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</si>
  <si>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</si>
  <si>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</si>
  <si>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</si>
  <si>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</si>
  <si>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</si>
  <si>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</si>
  <si>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</si>
  <si>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</si>
  <si>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</si>
  <si>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</si>
  <si>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</si>
  <si>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</si>
  <si>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</si>
  <si>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</si>
  <si>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</si>
  <si>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</si>
  <si>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</si>
  <si>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</si>
  <si>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</si>
  <si>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</si>
  <si>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</si>
  <si>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</si>
  <si>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</si>
  <si>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</si>
  <si>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</si>
  <si>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</si>
  <si>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</si>
  <si>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</si>
  <si>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</si>
  <si>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</si>
  <si>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</si>
  <si>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</si>
  <si>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</si>
  <si>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</si>
  <si>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</si>
  <si>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</si>
  <si>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</si>
  <si>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</si>
  <si>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</si>
  <si>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</si>
  <si>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</si>
  <si>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</si>
  <si>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</si>
  <si>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</si>
  <si>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</si>
  <si>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</si>
  <si>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</si>
  <si>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</si>
  <si>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</si>
  <si>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</si>
  <si>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</si>
  <si>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</si>
  <si>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</si>
  <si>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</si>
  <si>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</si>
  <si>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</si>
  <si>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</si>
  <si>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</si>
  <si>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</si>
  <si>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</si>
  <si>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</si>
  <si>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</si>
  <si>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</si>
  <si>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</si>
  <si>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</si>
  <si>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</si>
  <si>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</si>
  <si>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</si>
  <si>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</si>
  <si>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</si>
  <si>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</si>
  <si>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</si>
  <si>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</si>
  <si>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</si>
  <si>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</si>
  <si>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</si>
  <si>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</si>
  <si>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</si>
  <si>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</si>
  <si>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</si>
  <si>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</si>
  <si>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</si>
  <si>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</si>
  <si>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</si>
  <si>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</si>
  <si>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</si>
  <si>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</si>
  <si>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</si>
  <si>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</si>
  <si>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</si>
  <si>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</si>
  <si>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</si>
  <si>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</si>
  <si>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</si>
  <si>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</si>
  <si>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</si>
  <si>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</si>
  <si>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</si>
  <si>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</si>
  <si>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</si>
  <si>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</si>
  <si>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</si>
  <si>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</si>
  <si>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</si>
  <si>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</si>
  <si>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</si>
  <si>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</si>
  <si>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</si>
  <si>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</si>
  <si>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</si>
  <si>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</si>
  <si>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</si>
  <si>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</si>
  <si>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</si>
  <si>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</si>
  <si>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</si>
  <si>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</si>
  <si>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</si>
  <si>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</si>
  <si>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</si>
  <si>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</si>
  <si>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</si>
  <si>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</si>
  <si>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</si>
  <si>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</si>
  <si>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</si>
  <si>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</si>
  <si>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</si>
  <si>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</si>
  <si>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</si>
  <si>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</si>
  <si>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</si>
  <si>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</si>
  <si>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</si>
  <si>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</si>
  <si>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</si>
  <si>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</si>
  <si>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</si>
  <si>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</si>
  <si>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</si>
  <si>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</si>
  <si>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</si>
  <si>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</si>
  <si>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</si>
  <si>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</si>
  <si>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</si>
  <si>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</si>
  <si>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</si>
  <si>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</si>
  <si>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</si>
  <si>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</si>
  <si>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</si>
  <si>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</si>
  <si>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</si>
  <si>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</si>
  <si>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</si>
  <si>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</si>
  <si>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</si>
  <si>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</si>
  <si>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</si>
  <si>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</si>
  <si>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</si>
  <si>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</si>
  <si>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</si>
  <si>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</si>
  <si>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</si>
  <si>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</si>
  <si>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</si>
  <si>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</si>
  <si>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</si>
  <si>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</si>
  <si>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</si>
  <si>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</si>
  <si>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</si>
  <si>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</si>
  <si>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</si>
  <si>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</si>
  <si>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</si>
  <si>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</si>
  <si>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</si>
  <si>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</si>
  <si>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</si>
  <si>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</si>
  <si>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</si>
  <si>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</si>
  <si>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</si>
  <si>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</si>
  <si>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</si>
  <si>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</si>
  <si>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</si>
  <si>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</si>
  <si>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</si>
  <si>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</si>
  <si>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</si>
  <si>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</si>
  <si>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</si>
  <si>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</si>
  <si>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</si>
  <si>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</si>
  <si>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</si>
  <si>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</si>
  <si>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</si>
  <si>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</si>
  <si>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</si>
  <si>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</si>
  <si>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</si>
  <si>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</si>
  <si>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</si>
  <si>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</si>
  <si>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</si>
  <si>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</si>
  <si>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</si>
  <si>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</si>
  <si>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</si>
  <si>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</si>
  <si>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</si>
  <si>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</si>
  <si>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</si>
  <si>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</si>
  <si>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</si>
  <si>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</si>
  <si>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</si>
  <si>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</si>
  <si>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</si>
  <si>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</si>
  <si>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</si>
  <si>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</si>
  <si>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</si>
  <si>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</si>
  <si>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</si>
  <si>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</si>
  <si>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</si>
  <si>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</si>
  <si>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</si>
  <si>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</si>
  <si>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</si>
  <si>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</si>
  <si>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</si>
  <si>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</si>
  <si>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</si>
  <si>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</si>
  <si>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</si>
  <si>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</si>
  <si>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</si>
  <si>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</si>
  <si>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</si>
  <si>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</si>
  <si>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</si>
  <si>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</si>
  <si>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</si>
  <si>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</si>
  <si>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</si>
  <si>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</si>
  <si>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</si>
  <si>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</si>
  <si>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</si>
  <si>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</si>
  <si>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</si>
  <si>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</si>
  <si>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</si>
  <si>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</si>
  <si>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</si>
  <si>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</si>
  <si>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</si>
  <si>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</si>
  <si>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</si>
  <si>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</si>
  <si>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</si>
  <si>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</si>
  <si>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</si>
  <si>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</si>
  <si>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</si>
  <si>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</si>
  <si>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</si>
  <si>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</si>
  <si>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</si>
  <si>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</si>
  <si>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</si>
  <si>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</si>
  <si>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</si>
  <si>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</si>
  <si>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</si>
  <si>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</si>
  <si>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</si>
  <si>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</si>
  <si>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</si>
  <si>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</si>
  <si>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</si>
  <si>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</si>
  <si>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</si>
  <si>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</si>
  <si>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</si>
  <si>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</si>
  <si>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</si>
  <si>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</si>
  <si>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</si>
  <si>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</si>
  <si>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</si>
  <si>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</si>
  <si>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</si>
  <si>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</si>
  <si>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</si>
  <si>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</si>
  <si>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</si>
  <si>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</si>
  <si>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</si>
  <si>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</si>
  <si>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</si>
  <si>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</si>
  <si>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</si>
  <si>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</si>
  <si>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</si>
  <si>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</si>
  <si>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</si>
  <si>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</si>
  <si>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</si>
  <si>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</si>
  <si>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</si>
  <si>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</si>
  <si>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</si>
  <si>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</si>
  <si>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</si>
  <si>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</si>
  <si>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</si>
  <si>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</si>
  <si>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</si>
  <si>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</si>
  <si>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</si>
  <si>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</si>
  <si>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</si>
  <si>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</si>
  <si>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</si>
  <si>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</si>
  <si>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</si>
  <si>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</si>
  <si>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</si>
  <si>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</si>
  <si>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</si>
  <si>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</si>
  <si>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</si>
  <si>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</si>
  <si>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</si>
  <si>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</si>
  <si>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</si>
  <si>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</si>
  <si>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</si>
  <si>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</si>
  <si>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</si>
  <si>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</si>
  <si>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</si>
  <si>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</si>
  <si>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</si>
  <si>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</si>
  <si>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</si>
  <si>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</si>
  <si>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</si>
  <si>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</si>
  <si>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</si>
  <si>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</si>
  <si>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</si>
  <si>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</si>
  <si>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</si>
  <si>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</si>
  <si>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</si>
  <si>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</si>
  <si>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</si>
  <si>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</si>
  <si>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</si>
  <si>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</si>
  <si>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</si>
  <si>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</si>
  <si>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</si>
  <si>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</si>
  <si>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</si>
  <si>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</si>
  <si>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</si>
  <si>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</si>
  <si>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</si>
  <si>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</si>
  <si>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</si>
  <si>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</si>
  <si>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</si>
  <si>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</si>
  <si>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</si>
  <si>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</si>
  <si>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</si>
  <si>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</si>
  <si>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</si>
  <si>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</si>
  <si>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</si>
  <si>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</si>
  <si>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</si>
  <si>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</si>
  <si>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</si>
  <si>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</si>
  <si>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</si>
  <si>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</si>
  <si>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</si>
  <si>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</si>
  <si>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</si>
  <si>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</si>
  <si>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</si>
  <si>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</si>
  <si>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</si>
  <si>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</si>
  <si>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</si>
  <si>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</si>
  <si>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</si>
  <si>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</si>
  <si>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</si>
  <si>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</si>
  <si>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</si>
  <si>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</si>
  <si>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</si>
  <si>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</si>
  <si>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</si>
  <si>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</si>
  <si>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</si>
  <si>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</si>
  <si>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</si>
  <si>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</si>
  <si>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</si>
  <si>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</si>
  <si>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</si>
  <si>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</si>
  <si>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</si>
  <si>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</si>
  <si>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</si>
  <si>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</si>
  <si>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</si>
  <si>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</si>
  <si>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</si>
  <si>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</si>
  <si>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</si>
  <si>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</si>
  <si>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</si>
  <si>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</si>
  <si>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</si>
  <si>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</si>
  <si>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</si>
  <si>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</si>
  <si>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</si>
  <si>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</si>
  <si>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</si>
  <si>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</si>
  <si>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</si>
  <si>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</si>
  <si>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</si>
  <si>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</si>
  <si>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</si>
  <si>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</si>
  <si>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</si>
  <si>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</si>
  <si>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</si>
  <si>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</si>
  <si>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</si>
  <si>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</si>
  <si>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</si>
  <si>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</si>
  <si>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</si>
  <si>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</si>
  <si>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</si>
  <si>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</si>
  <si>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</si>
  <si>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</si>
  <si>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</si>
  <si>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</si>
  <si>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</si>
  <si>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</si>
  <si>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</si>
  <si>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</si>
  <si>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</si>
  <si>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</si>
  <si>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</si>
  <si>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</si>
  <si>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</si>
  <si>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</si>
  <si>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</si>
  <si>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</si>
  <si>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</si>
  <si>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</si>
  <si>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</si>
  <si>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</si>
  <si>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</si>
  <si>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</si>
  <si>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</si>
  <si>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</si>
  <si>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</si>
  <si>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</si>
  <si>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</si>
  <si>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</si>
  <si>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</si>
  <si>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</si>
  <si>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</si>
  <si>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</si>
  <si>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</si>
  <si>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</si>
  <si>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</si>
  <si>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</si>
  <si>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</si>
  <si>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</si>
  <si>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</si>
  <si>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</si>
  <si>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</si>
  <si>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</si>
  <si>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</si>
  <si>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</si>
  <si>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</si>
  <si>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</si>
  <si>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</si>
  <si>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</si>
  <si>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</si>
  <si>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</si>
  <si>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</si>
  <si>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</si>
  <si>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</si>
  <si>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</si>
  <si>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</si>
  <si>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</si>
  <si>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</si>
  <si>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</si>
  <si>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</si>
  <si>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</si>
  <si>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</si>
  <si>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</si>
  <si>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</si>
  <si>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</si>
  <si>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</si>
  <si>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</si>
  <si>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</si>
  <si>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</si>
  <si>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</si>
  <si>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</si>
  <si>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</si>
  <si>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</si>
  <si>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</si>
  <si>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</si>
  <si>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</si>
  <si>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</si>
  <si>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</si>
  <si>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</si>
  <si>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</si>
  <si>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</si>
  <si>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</si>
  <si>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</si>
  <si>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</si>
  <si>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</si>
  <si>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</si>
  <si>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</si>
  <si>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</si>
  <si>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</si>
  <si>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</si>
  <si>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</si>
  <si>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</si>
  <si>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</si>
  <si>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</si>
  <si>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</si>
  <si>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</si>
  <si>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</si>
  <si>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</si>
  <si>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</si>
  <si>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</si>
  <si>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</si>
  <si>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</si>
  <si>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</si>
  <si>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</si>
  <si>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</si>
  <si>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</si>
  <si>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</si>
  <si>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</si>
  <si>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</si>
  <si>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</si>
  <si>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</si>
  <si>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</si>
  <si>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</si>
  <si>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</si>
  <si>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</si>
  <si>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</si>
  <si>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</si>
  <si>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</si>
  <si>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</si>
  <si>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</si>
  <si>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</si>
  <si>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</si>
  <si>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</si>
  <si>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</si>
  <si>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</si>
  <si>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</si>
  <si>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</si>
  <si>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</si>
  <si>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</si>
  <si>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</si>
  <si>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</si>
  <si>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</si>
  <si>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</si>
  <si>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</si>
  <si>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</si>
  <si>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</si>
  <si>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</si>
  <si>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</si>
  <si>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</si>
  <si>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</si>
  <si>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</si>
  <si>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</si>
  <si>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</si>
  <si>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</si>
  <si>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</si>
  <si>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</si>
  <si>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</si>
  <si>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</si>
  <si>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</si>
  <si>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</si>
  <si>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</si>
  <si>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</si>
  <si>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</si>
  <si>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</si>
  <si>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</si>
  <si>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</si>
  <si>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</si>
  <si>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</si>
  <si>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</si>
  <si>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</si>
  <si>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</si>
  <si>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</si>
  <si>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</si>
  <si>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</si>
  <si>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</si>
  <si>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</si>
  <si>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</si>
  <si>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</si>
  <si>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</si>
  <si>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</si>
  <si>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</si>
  <si>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</si>
  <si>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</si>
  <si>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</si>
  <si>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</si>
  <si>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</si>
  <si>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</si>
  <si>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</si>
  <si>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</si>
  <si>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</si>
  <si>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</si>
  <si>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</si>
  <si>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</si>
  <si>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</si>
  <si>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</si>
  <si>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</si>
  <si>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</si>
  <si>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</si>
  <si>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</si>
  <si>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</si>
  <si>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</si>
  <si>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</si>
  <si>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</si>
  <si>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</si>
  <si>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</si>
  <si>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</si>
  <si>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</si>
  <si>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</si>
  <si>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</si>
  <si>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</si>
  <si>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</si>
  <si>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</si>
  <si>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</si>
  <si>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</si>
  <si>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</si>
  <si>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</si>
  <si>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</si>
  <si>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</si>
  <si>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</si>
  <si>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</si>
  <si>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</si>
  <si>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</si>
  <si>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</si>
  <si>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</si>
  <si>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</si>
  <si>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</si>
  <si>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</si>
  <si>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</si>
  <si>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</si>
  <si>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</si>
  <si>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</si>
  <si>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</si>
  <si>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</si>
  <si>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</si>
  <si>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</si>
  <si>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</si>
  <si>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</si>
  <si>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</si>
  <si>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</si>
  <si>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</si>
  <si>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</si>
  <si>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</si>
  <si>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</si>
  <si>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</si>
  <si>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</si>
  <si>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</si>
  <si>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</si>
  <si>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</si>
  <si>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</si>
  <si>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</si>
  <si>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</si>
  <si>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</si>
  <si>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</si>
  <si>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</si>
  <si>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</si>
  <si>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</si>
  <si>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</si>
  <si>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</si>
  <si>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</si>
  <si>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</si>
  <si>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</si>
  <si>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</si>
  <si>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</si>
  <si>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</si>
  <si>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</si>
  <si>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</si>
  <si>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</si>
  <si>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</si>
  <si>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</si>
  <si>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</si>
  <si>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</si>
  <si>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</si>
  <si>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</si>
  <si>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</si>
  <si>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</si>
  <si>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</si>
  <si>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</si>
  <si>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</si>
  <si>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</si>
  <si>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</si>
  <si>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</si>
  <si>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</si>
  <si>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</si>
  <si>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</si>
  <si>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</si>
  <si>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</si>
  <si>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</si>
  <si>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</si>
  <si>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</si>
  <si>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</si>
  <si>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</si>
  <si>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</si>
  <si>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</si>
  <si>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</si>
  <si>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</si>
  <si>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</si>
  <si>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</si>
  <si>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</si>
  <si>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</si>
  <si>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</si>
  <si>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</si>
  <si>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</si>
  <si>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</si>
  <si>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</si>
  <si>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</si>
  <si>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</si>
  <si>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</si>
  <si>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</si>
  <si>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</si>
  <si>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</si>
  <si>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</si>
  <si>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</si>
  <si>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</si>
  <si>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</si>
  <si>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</si>
  <si>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</si>
  <si>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</si>
  <si>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</si>
  <si>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</si>
  <si>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</si>
  <si>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</si>
  <si>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</si>
  <si>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</si>
  <si>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</si>
  <si>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</si>
  <si>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</si>
  <si>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</si>
  <si>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</si>
  <si>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</si>
  <si>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</si>
  <si>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</si>
  <si>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</si>
  <si>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</si>
  <si>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</si>
  <si>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</si>
  <si>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</si>
  <si>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</si>
  <si>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</si>
  <si>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</si>
  <si>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</si>
  <si>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</si>
  <si>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</si>
  <si>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</si>
  <si>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</si>
  <si>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</si>
  <si>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</si>
  <si>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</si>
  <si>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</si>
  <si>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</si>
  <si>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</si>
  <si>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</si>
  <si>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</si>
  <si>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</si>
  <si>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</si>
  <si>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</si>
  <si>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</si>
  <si>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</si>
  <si>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</si>
  <si>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</si>
  <si>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</si>
  <si>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</si>
  <si>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</si>
  <si>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</si>
  <si>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</si>
  <si>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</si>
  <si>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</si>
  <si>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</si>
  <si>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</si>
  <si>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</si>
  <si>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</si>
  <si>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</si>
  <si>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</si>
  <si>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</si>
  <si>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</si>
  <si>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</si>
  <si>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</si>
  <si>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</si>
  <si>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</si>
  <si>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</si>
  <si>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</si>
  <si>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</si>
  <si>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</si>
  <si>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</si>
  <si>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</si>
  <si>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</si>
  <si>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</si>
  <si>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</si>
  <si>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</si>
  <si>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</si>
  <si>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</si>
  <si>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</si>
  <si>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</si>
  <si>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</si>
  <si>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</si>
  <si>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</si>
  <si>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</si>
  <si>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</si>
  <si>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</si>
  <si>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</si>
  <si>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</si>
  <si>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</si>
  <si>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</si>
  <si>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</si>
  <si>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</si>
  <si>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</si>
  <si>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</si>
  <si>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</si>
  <si>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</si>
  <si>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</si>
  <si>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</si>
  <si>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</si>
  <si>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</si>
  <si>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</si>
  <si>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</si>
  <si>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</si>
  <si>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</si>
  <si>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</si>
  <si>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</si>
  <si>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</si>
  <si>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</si>
  <si>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</si>
  <si>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</si>
  <si>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</si>
  <si>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</si>
  <si>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</si>
  <si>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</si>
  <si>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</si>
  <si>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</si>
  <si>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</si>
  <si>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</si>
  <si>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</si>
  <si>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</si>
  <si>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</si>
  <si>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</si>
  <si>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</si>
  <si>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</si>
  <si>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</si>
  <si>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</si>
  <si>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</si>
  <si>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</si>
  <si>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</si>
  <si>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</si>
  <si>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</si>
  <si>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</si>
  <si>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</si>
  <si>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</si>
  <si>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</si>
  <si>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</si>
  <si>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</si>
  <si>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</si>
  <si>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</si>
  <si>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</si>
  <si>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</si>
  <si>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</si>
  <si>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</si>
  <si>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</si>
  <si>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</si>
  <si>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</si>
  <si>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</si>
  <si>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</si>
  <si>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</si>
  <si>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</si>
  <si>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</si>
  <si>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</si>
  <si>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</si>
  <si>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</si>
  <si>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</si>
  <si>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</si>
  <si>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</si>
  <si>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</si>
  <si>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</si>
  <si>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</si>
  <si>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</si>
  <si>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</si>
  <si>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</si>
  <si>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</si>
  <si>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</si>
  <si>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</si>
  <si>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</si>
  <si>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</si>
  <si>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</si>
  <si>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</si>
  <si>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</si>
  <si>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</si>
  <si>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</si>
  <si>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</si>
  <si>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</si>
  <si>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</si>
  <si>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</si>
  <si>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</si>
  <si>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</si>
  <si>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</si>
  <si>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</si>
  <si>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</si>
  <si>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</si>
  <si>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</si>
  <si>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</si>
  <si>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</si>
  <si>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</si>
  <si>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</si>
  <si>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</si>
  <si>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</si>
  <si>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</si>
  <si>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</si>
  <si>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</si>
  <si>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</si>
  <si>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</si>
  <si>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</si>
  <si>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</si>
  <si>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</si>
  <si>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</si>
  <si>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</si>
  <si>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</si>
  <si>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</si>
  <si>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</si>
  <si>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</si>
  <si>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</si>
  <si>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</si>
  <si>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</si>
  <si>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</si>
  <si>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</si>
  <si>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</si>
  <si>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</si>
  <si>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</si>
  <si>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</si>
  <si>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</si>
  <si>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</si>
  <si>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</si>
  <si>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</si>
  <si>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</si>
  <si>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</si>
  <si>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</si>
  <si>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</si>
  <si>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</si>
  <si>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</si>
  <si>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</si>
  <si>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</si>
  <si>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</si>
  <si>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</si>
  <si>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</si>
  <si>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</si>
  <si>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</si>
  <si>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</si>
  <si>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</si>
  <si>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</si>
  <si>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</si>
  <si>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</si>
  <si>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</si>
  <si>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</si>
  <si>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</si>
  <si>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</si>
  <si>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</si>
  <si>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</si>
  <si>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</si>
  <si>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</si>
  <si>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</si>
  <si>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</si>
  <si>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</si>
  <si>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</si>
  <si>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</si>
  <si>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</si>
  <si>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</si>
  <si>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</si>
  <si>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</si>
  <si>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</si>
  <si>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</si>
  <si>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</si>
  <si>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</si>
  <si>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</si>
  <si>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</si>
  <si>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</si>
  <si>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</si>
  <si>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</si>
  <si>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</si>
  <si>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</si>
  <si>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</si>
  <si>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</si>
  <si>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</si>
  <si>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</si>
  <si>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</si>
  <si>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</si>
  <si>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</si>
  <si>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</si>
  <si>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</si>
  <si>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</si>
  <si>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</si>
  <si>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</si>
  <si>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</si>
  <si>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</si>
  <si>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</si>
  <si>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</si>
  <si>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</si>
  <si>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</si>
  <si>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</si>
  <si>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</si>
  <si>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</si>
  <si>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</si>
  <si>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</si>
  <si>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</si>
  <si>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</si>
  <si>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</si>
  <si>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</si>
  <si>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</si>
  <si>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</si>
  <si>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</si>
  <si>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</si>
  <si>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</si>
  <si>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</si>
  <si>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</si>
  <si>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</si>
  <si>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</si>
  <si>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</si>
  <si>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</si>
  <si>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</si>
  <si>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</si>
  <si>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</si>
  <si>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</si>
  <si>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</si>
  <si>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</si>
  <si>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</si>
  <si>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</si>
  <si>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</si>
  <si>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</si>
  <si>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</si>
  <si>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</si>
  <si>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</si>
  <si>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</si>
  <si>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</si>
  <si>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</si>
  <si>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</si>
  <si>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</si>
  <si>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</si>
  <si>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</si>
  <si>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</si>
  <si>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</si>
  <si>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</si>
  <si>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</si>
  <si>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</si>
  <si>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</si>
  <si>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</si>
  <si>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</si>
  <si>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</si>
  <si>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</si>
  <si>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</si>
  <si>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</si>
  <si>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</si>
  <si>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</si>
  <si>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</si>
  <si>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</si>
  <si>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</si>
  <si>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</si>
  <si>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</si>
  <si>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</si>
  <si>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</si>
  <si>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</si>
  <si>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</si>
  <si>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</si>
  <si>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</si>
  <si>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</si>
  <si>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</si>
  <si>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</si>
  <si>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</si>
  <si>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</si>
  <si>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</si>
  <si>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</si>
  <si>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</si>
  <si>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</si>
  <si>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</si>
  <si>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</si>
  <si>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</si>
  <si>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</si>
  <si>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</si>
  <si>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</si>
  <si>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</si>
  <si>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</si>
  <si>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</si>
  <si>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</si>
  <si>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</si>
  <si>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</si>
  <si>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</si>
  <si>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</si>
  <si>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</si>
  <si>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</si>
  <si>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</si>
  <si>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</si>
  <si>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</si>
  <si>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</si>
  <si>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</si>
  <si>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</si>
  <si>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</si>
  <si>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</si>
  <si>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</si>
  <si>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</si>
  <si>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</si>
  <si>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</si>
  <si>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</si>
  <si>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</si>
  <si>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</si>
  <si>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</si>
  <si>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</si>
  <si>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</si>
  <si>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</si>
  <si>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</si>
  <si>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</si>
  <si>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</si>
  <si>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</si>
  <si>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</si>
  <si>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</si>
  <si>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</si>
  <si>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</si>
  <si>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</si>
  <si>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</si>
  <si>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</si>
  <si>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</si>
  <si>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</si>
  <si>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</si>
  <si>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</si>
  <si>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</si>
  <si>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</si>
  <si>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</si>
  <si>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</si>
  <si>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</si>
  <si>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</si>
  <si>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</si>
  <si>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</si>
  <si>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</si>
  <si>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</si>
  <si>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</si>
  <si>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</si>
  <si>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</si>
  <si>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</si>
  <si>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</si>
  <si>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</si>
  <si>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</si>
  <si>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</si>
  <si>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</si>
  <si>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</si>
  <si>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</si>
  <si>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</si>
  <si>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</si>
  <si>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</si>
  <si>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</si>
  <si>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</si>
  <si>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</si>
  <si>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</si>
  <si>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</si>
  <si>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</si>
  <si>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</si>
  <si>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</si>
  <si>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</si>
  <si>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</si>
  <si>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</si>
  <si>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</si>
  <si>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</si>
  <si>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</si>
  <si>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</si>
  <si>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</si>
  <si>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</si>
  <si>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</si>
  <si>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</si>
  <si>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</si>
  <si>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</si>
  <si>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</si>
  <si>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</si>
  <si>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</si>
  <si>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</si>
  <si>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</si>
  <si>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</si>
  <si>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</si>
  <si>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</si>
  <si>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</si>
  <si>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</si>
  <si>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</si>
  <si>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</si>
  <si>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</si>
  <si>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</si>
  <si>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</si>
  <si>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</si>
  <si>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</si>
  <si>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</si>
  <si>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</si>
  <si>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</si>
  <si>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</si>
  <si>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</si>
  <si>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</si>
  <si>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</si>
  <si>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</si>
  <si>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</si>
  <si>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</si>
  <si>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</si>
  <si>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</si>
  <si>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</si>
  <si>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</si>
  <si>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</si>
  <si>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</si>
  <si>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</si>
  <si>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</si>
  <si>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</si>
  <si>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</si>
  <si>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</si>
  <si>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</si>
  <si>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</si>
  <si>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</si>
  <si>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</si>
  <si>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</si>
  <si>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</si>
  <si>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</si>
  <si>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</si>
  <si>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</si>
  <si>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</si>
  <si>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</si>
  <si>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</si>
  <si>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</si>
  <si>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</si>
  <si>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</si>
  <si>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</si>
  <si>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</si>
  <si>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</si>
  <si>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</si>
  <si>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</si>
  <si>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</si>
  <si>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</si>
  <si>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</si>
  <si>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</si>
  <si>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</si>
  <si>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</si>
  <si>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</si>
  <si>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</si>
  <si>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</si>
  <si>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</si>
  <si>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</si>
  <si>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</si>
  <si>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</si>
  <si>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</si>
  <si>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</si>
  <si>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</si>
  <si>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</si>
  <si>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</si>
  <si>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</si>
  <si>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</si>
  <si>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</si>
  <si>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</si>
  <si>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</si>
  <si>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</si>
  <si>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</si>
  <si>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</si>
  <si>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</si>
  <si>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</si>
  <si>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</si>
  <si>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</si>
  <si>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</si>
  <si>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</si>
  <si>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</si>
  <si>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</si>
  <si>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</si>
  <si>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</si>
  <si>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</si>
  <si>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</si>
  <si>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</si>
  <si>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</si>
  <si>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</si>
  <si>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</si>
  <si>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</si>
  <si>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</si>
  <si>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</si>
  <si>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</si>
  <si>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</si>
  <si>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</si>
  <si>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</si>
  <si>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</si>
  <si>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</si>
  <si>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</si>
  <si>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</si>
  <si>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</si>
  <si>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</si>
  <si>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</si>
  <si>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</si>
  <si>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</si>
  <si>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</si>
  <si>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</si>
  <si>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</si>
  <si>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</si>
  <si>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</si>
  <si>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</si>
  <si>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</si>
  <si>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</si>
  <si>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</si>
  <si>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</si>
  <si>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</si>
  <si>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</si>
  <si>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</si>
  <si>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</si>
  <si>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</si>
  <si>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</si>
  <si>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</si>
  <si>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</si>
  <si>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</si>
  <si>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</si>
  <si>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</si>
  <si>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</si>
  <si>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</si>
  <si>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</si>
  <si>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</si>
  <si>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</si>
  <si>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</si>
  <si>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</si>
  <si>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</si>
  <si>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</si>
  <si>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</si>
  <si>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</si>
  <si>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</si>
  <si>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</si>
  <si>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</si>
  <si>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</si>
  <si>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</si>
  <si>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</si>
  <si>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</si>
  <si>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</si>
  <si>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</si>
  <si>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</si>
  <si>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</si>
  <si>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</si>
  <si>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</si>
  <si>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</si>
  <si>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</si>
  <si>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</si>
  <si>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</si>
  <si>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</si>
  <si>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</si>
  <si>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</si>
  <si>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</si>
  <si>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</si>
  <si>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</si>
  <si>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</si>
  <si>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</si>
  <si>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</si>
  <si>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</si>
  <si>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</si>
  <si>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</si>
  <si>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</si>
  <si>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</si>
  <si>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</si>
  <si>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</si>
  <si>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</si>
  <si>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</si>
  <si>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</si>
  <si>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</si>
  <si>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</si>
  <si>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</si>
  <si>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</si>
  <si>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</si>
  <si>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</si>
  <si>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</si>
  <si>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</si>
  <si>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</si>
  <si>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</si>
  <si>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</si>
  <si>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</si>
  <si>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</si>
  <si>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</si>
  <si>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</si>
  <si>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</si>
  <si>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</si>
  <si>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</si>
  <si>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</si>
  <si>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</si>
  <si>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</si>
  <si>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</si>
  <si>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</si>
  <si>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</si>
  <si>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</si>
  <si>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</si>
  <si>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</si>
  <si>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</si>
  <si>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</si>
  <si>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</si>
  <si>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</si>
  <si>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</si>
  <si>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</si>
  <si>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</si>
  <si>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</si>
  <si>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</si>
  <si>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</si>
  <si>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</si>
  <si>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</si>
  <si>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</si>
  <si>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</si>
  <si>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</si>
  <si>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</si>
  <si>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</si>
  <si>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</si>
  <si>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</si>
  <si>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</si>
  <si>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</si>
  <si>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</si>
  <si>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</si>
  <si>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</si>
  <si>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</si>
  <si>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</si>
  <si>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</si>
  <si>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</si>
  <si>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</si>
  <si>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</si>
  <si>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</si>
  <si>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</si>
  <si>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</si>
  <si>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</si>
  <si>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</si>
  <si>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</si>
  <si>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</si>
  <si>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</si>
  <si>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</si>
  <si>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</si>
  <si>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</si>
  <si>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</si>
  <si>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</si>
  <si>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</si>
  <si>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</si>
  <si>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</si>
  <si>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</si>
  <si>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</si>
  <si>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</si>
  <si>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</si>
  <si>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</si>
  <si>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</si>
  <si>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</si>
  <si>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</si>
  <si>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</si>
  <si>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</si>
  <si>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</si>
  <si>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</si>
  <si>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</si>
  <si>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</si>
  <si>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</si>
  <si>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</si>
  <si>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</si>
  <si>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</si>
  <si>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</si>
  <si>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</si>
  <si>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</si>
  <si>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</si>
  <si>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</si>
  <si>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</si>
  <si>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</si>
  <si>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</si>
  <si>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</si>
  <si>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</si>
  <si>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</si>
  <si>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</si>
  <si>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</si>
  <si>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</si>
  <si>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</si>
  <si>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</si>
  <si>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</si>
  <si>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</si>
  <si>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</si>
  <si>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</si>
  <si>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</si>
  <si>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</si>
  <si>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</si>
  <si>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</si>
  <si>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</si>
  <si>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</si>
  <si>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</si>
  <si>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</si>
  <si>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</si>
  <si>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</si>
  <si>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</si>
  <si>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</si>
  <si>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</si>
  <si>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</si>
  <si>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</si>
  <si>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</si>
  <si>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</si>
  <si>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</si>
  <si>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</si>
  <si>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</si>
  <si>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</si>
  <si>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</si>
  <si>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</si>
  <si>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</si>
  <si>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</si>
  <si>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</si>
  <si>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</si>
  <si>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</si>
  <si>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</si>
  <si>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</si>
  <si>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</si>
  <si>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</si>
  <si>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</si>
  <si>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</si>
  <si>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</si>
  <si>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</si>
  <si>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</si>
  <si>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</si>
  <si>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</si>
  <si>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</si>
  <si>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</si>
  <si>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</si>
  <si>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</si>
  <si>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</si>
  <si>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</si>
  <si>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</si>
  <si>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</si>
  <si>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</si>
  <si>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</si>
  <si>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</si>
  <si>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</si>
  <si>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</si>
  <si>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</si>
  <si>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</si>
  <si>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</si>
  <si>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</si>
  <si>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</si>
  <si>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</si>
  <si>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</si>
  <si>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</si>
  <si>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</si>
  <si>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</si>
  <si>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</si>
  <si>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</si>
  <si>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</si>
  <si>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</si>
  <si>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</si>
  <si>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</si>
  <si>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</si>
  <si>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</si>
  <si>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</si>
  <si>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</si>
  <si>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</si>
  <si>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</si>
  <si>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</si>
  <si>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</si>
  <si>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</si>
  <si>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</si>
  <si>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</si>
  <si>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</si>
  <si>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</si>
  <si>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</si>
  <si>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</si>
  <si>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</si>
  <si>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</si>
  <si>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</si>
  <si>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</si>
  <si>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</si>
  <si>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</si>
  <si>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</si>
  <si>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</si>
  <si>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</si>
  <si>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</si>
  <si>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</si>
  <si>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</si>
  <si>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</si>
  <si>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</si>
  <si>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</si>
  <si>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</si>
  <si>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</si>
  <si>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</si>
  <si>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</si>
  <si>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</si>
  <si>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</si>
  <si>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</si>
  <si>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</si>
  <si>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</si>
  <si>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</si>
  <si>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</si>
  <si>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</si>
  <si>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</si>
  <si>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</si>
  <si>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</si>
  <si>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</si>
  <si>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</si>
  <si>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</si>
  <si>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</si>
  <si>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</si>
  <si>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</si>
  <si>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</si>
  <si>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</si>
  <si>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</si>
  <si>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</si>
  <si>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</si>
  <si>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</si>
  <si>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</si>
  <si>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</si>
  <si>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</si>
  <si>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</si>
  <si>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</si>
  <si>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</si>
  <si>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</si>
  <si>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</si>
  <si>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</si>
  <si>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</si>
  <si>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</si>
  <si>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</si>
  <si>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</si>
  <si>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</si>
  <si>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</si>
  <si>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</si>
  <si>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</si>
  <si>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</si>
  <si>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</si>
  <si>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</si>
  <si>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</si>
  <si>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</si>
  <si>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</si>
  <si>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</si>
  <si>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</si>
  <si>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</si>
  <si>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</si>
  <si>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</si>
  <si>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</si>
  <si>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</si>
  <si>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</si>
  <si>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</si>
  <si>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</si>
  <si>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</si>
  <si>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</si>
  <si>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</si>
  <si>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</si>
  <si>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</si>
  <si>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</si>
  <si>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</si>
  <si>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</si>
  <si>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</si>
  <si>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</si>
  <si>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</si>
  <si>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</si>
  <si>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</si>
  <si>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</si>
  <si>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</si>
  <si>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</si>
  <si>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</si>
  <si>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</si>
  <si>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</si>
  <si>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</si>
  <si>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</si>
  <si>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</si>
  <si>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</si>
  <si>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</si>
  <si>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</si>
  <si>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</si>
  <si>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</si>
  <si>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</si>
  <si>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</si>
  <si>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</si>
  <si>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</si>
  <si>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</si>
  <si>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</si>
  <si>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</si>
  <si>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</si>
  <si>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</si>
  <si>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</si>
  <si>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</si>
  <si>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</si>
  <si>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</si>
  <si>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</si>
  <si>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</si>
  <si>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</si>
  <si>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</si>
  <si>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</si>
  <si>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</si>
  <si>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</si>
  <si>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</si>
  <si>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</si>
  <si>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</si>
  <si>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</si>
  <si>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</si>
  <si>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</si>
  <si>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</si>
  <si>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</si>
  <si>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</si>
  <si>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</si>
  <si>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</si>
  <si>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</si>
  <si>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</si>
  <si>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</si>
  <si>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</si>
  <si>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</si>
  <si>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</si>
  <si>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</si>
  <si>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</si>
  <si>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</si>
  <si>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</si>
  <si>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</si>
  <si>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</si>
  <si>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</si>
  <si>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</si>
  <si>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</si>
  <si>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</si>
  <si>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</si>
  <si>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</si>
  <si>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</si>
  <si>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</si>
  <si>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</si>
  <si>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</si>
  <si>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</si>
  <si>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</si>
  <si>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</si>
  <si>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</si>
  <si>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</si>
  <si>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</si>
  <si>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</si>
  <si>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</si>
  <si>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</si>
  <si>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</si>
  <si>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</si>
  <si>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</si>
  <si>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</si>
  <si>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</si>
  <si>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</si>
  <si>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</si>
  <si>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</si>
  <si>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</si>
  <si>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</si>
  <si>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</si>
  <si>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</si>
  <si>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</si>
  <si>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</si>
  <si>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</si>
  <si>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</si>
  <si>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</si>
  <si>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</si>
  <si>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</si>
  <si>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</si>
  <si>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</si>
  <si>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</si>
  <si>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</si>
  <si>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</si>
  <si>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</si>
  <si>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</si>
  <si>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</si>
  <si>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</si>
  <si>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</si>
  <si>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</si>
  <si>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</si>
  <si>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</si>
  <si>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</si>
  <si>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</si>
  <si>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</si>
  <si>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</si>
  <si>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</si>
  <si>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</si>
  <si>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</si>
  <si>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</si>
  <si>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</si>
  <si>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</si>
  <si>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</si>
  <si>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</si>
  <si>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</si>
  <si>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</si>
  <si>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</si>
  <si>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</si>
  <si>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</si>
  <si>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</si>
  <si>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</si>
  <si>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</si>
  <si>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</si>
  <si>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</si>
  <si>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</si>
  <si>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</si>
  <si>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</si>
  <si>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</si>
  <si>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</si>
  <si>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</si>
  <si>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</si>
  <si>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</si>
  <si>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</si>
  <si>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</si>
  <si>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</si>
  <si>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</si>
  <si>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</si>
  <si>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</si>
  <si>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</si>
  <si>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</si>
  <si>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</si>
  <si>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</si>
  <si>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</si>
  <si>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</si>
  <si>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</si>
  <si>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</si>
  <si>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</si>
  <si>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</si>
  <si>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</si>
  <si>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</si>
  <si>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</si>
  <si>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</si>
  <si>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</si>
  <si>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</si>
  <si>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</si>
  <si>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</si>
  <si>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</si>
  <si>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</si>
  <si>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</si>
  <si>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</si>
  <si>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</si>
  <si>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</si>
  <si>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</si>
  <si>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</si>
  <si>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</si>
  <si>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</si>
  <si>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</si>
  <si>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</si>
  <si>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</si>
  <si>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</si>
  <si>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</si>
  <si>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</si>
  <si>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</si>
  <si>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</si>
  <si>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</si>
  <si>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</si>
  <si>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</si>
  <si>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</si>
  <si>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</si>
  <si>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</si>
  <si>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</si>
  <si>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</si>
  <si>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</si>
  <si>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</si>
  <si>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</si>
  <si>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</si>
  <si>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</si>
  <si>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</si>
  <si>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</si>
  <si>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</si>
  <si>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</si>
  <si>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</si>
  <si>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</si>
  <si>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</si>
  <si>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</si>
  <si>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</si>
  <si>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</si>
  <si>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</si>
  <si>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</si>
  <si>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</si>
  <si>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</si>
  <si>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</si>
  <si>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</si>
  <si>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</si>
  <si>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</si>
  <si>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</si>
  <si>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</si>
  <si>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</si>
  <si>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</si>
  <si>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</si>
  <si>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</si>
  <si>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</si>
  <si>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</si>
  <si>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</si>
  <si>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</si>
  <si>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</si>
  <si>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</si>
  <si>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</si>
  <si>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</si>
  <si>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</si>
  <si>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</si>
  <si>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</si>
  <si>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</si>
  <si>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</si>
  <si>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</si>
  <si>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</si>
  <si>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</si>
  <si>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</si>
  <si>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</si>
  <si>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</si>
  <si>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</si>
  <si>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</si>
  <si>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</si>
  <si>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</si>
  <si>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</si>
  <si>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</si>
  <si>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</si>
  <si>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</si>
  <si>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</si>
  <si>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</si>
  <si>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</si>
  <si>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</si>
  <si>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</si>
  <si>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</si>
  <si>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</si>
  <si>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</si>
  <si>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</si>
  <si>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</si>
  <si>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</si>
  <si>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</si>
  <si>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</si>
  <si>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</si>
  <si>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</si>
  <si>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</si>
  <si>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</si>
  <si>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</si>
  <si>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</si>
  <si>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</si>
  <si>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</si>
  <si>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</si>
  <si>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</si>
  <si>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</si>
  <si>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</si>
  <si>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</si>
  <si>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</si>
  <si>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</si>
  <si>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</si>
  <si>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</si>
  <si>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</si>
  <si>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</si>
  <si>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</si>
  <si>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</si>
  <si>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</si>
  <si>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</si>
  <si>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</si>
  <si>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</si>
  <si>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</si>
  <si>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</si>
  <si>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</si>
  <si>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</si>
  <si>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</si>
  <si>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</si>
  <si>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</si>
  <si>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</si>
  <si>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</si>
  <si>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</si>
  <si>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</si>
  <si>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</si>
  <si>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</si>
  <si>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</si>
  <si>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</si>
  <si>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</si>
  <si>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</si>
  <si>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</si>
  <si>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</si>
  <si>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</si>
  <si>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</si>
  <si>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</si>
  <si>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</si>
  <si>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</si>
  <si>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</si>
  <si>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</si>
  <si>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</si>
  <si>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</si>
  <si>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</si>
  <si>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</si>
  <si>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</si>
  <si>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</si>
  <si>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</si>
  <si>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</si>
  <si>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</si>
  <si>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</si>
  <si>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</si>
  <si>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</si>
  <si>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</si>
  <si>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</si>
  <si>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</si>
  <si>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</si>
  <si>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</si>
  <si>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</si>
  <si>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</si>
  <si>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</si>
  <si>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</si>
  <si>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</si>
  <si>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</si>
  <si>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</si>
  <si>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</si>
  <si>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</si>
  <si>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</si>
  <si>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</si>
  <si>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</si>
  <si>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</si>
  <si>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</si>
  <si>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</si>
  <si>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</si>
  <si>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</si>
  <si>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</si>
  <si>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</si>
  <si>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</si>
  <si>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</si>
  <si>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</si>
  <si>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</si>
  <si>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</si>
  <si>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</si>
  <si>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</si>
  <si>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</si>
  <si>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</si>
  <si>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</si>
  <si>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</si>
  <si>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</si>
  <si>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</si>
  <si>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</si>
  <si>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</si>
  <si>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</si>
  <si>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</si>
  <si>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</si>
  <si>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</si>
  <si>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</si>
  <si>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</si>
  <si>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</si>
  <si>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</si>
  <si>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</si>
  <si>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</si>
  <si>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</si>
  <si>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</si>
  <si>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</si>
  <si>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</si>
  <si>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</si>
  <si>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</si>
  <si>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</si>
  <si>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</si>
  <si>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</si>
  <si>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</si>
  <si>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</si>
  <si>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</si>
  <si>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</si>
  <si>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</si>
  <si>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</si>
  <si>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</si>
  <si>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</si>
  <si>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</si>
  <si>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</si>
  <si>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</si>
  <si>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</si>
  <si>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</si>
  <si>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</si>
  <si>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</si>
  <si>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</si>
  <si>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</si>
  <si>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</si>
  <si>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</si>
  <si>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</si>
  <si>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</si>
  <si>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</si>
  <si>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</si>
  <si>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</si>
  <si>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</si>
  <si>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</si>
  <si>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</si>
  <si>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</si>
  <si>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</si>
  <si>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</si>
  <si>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</si>
  <si>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</si>
  <si>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</si>
  <si>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</si>
  <si>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</si>
  <si>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</si>
  <si>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</si>
  <si>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</si>
  <si>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</si>
  <si>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</si>
  <si>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</si>
  <si>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</si>
  <si>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</si>
  <si>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</si>
  <si>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</si>
  <si>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</si>
  <si>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</si>
  <si>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</si>
  <si>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</si>
  <si>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</si>
  <si>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</si>
  <si>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</si>
  <si>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</si>
  <si>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</si>
  <si>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</si>
  <si>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</si>
  <si>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</si>
  <si>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</si>
  <si>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</si>
  <si>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</si>
  <si>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</si>
  <si>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</si>
  <si>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</si>
  <si>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</si>
  <si>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</si>
  <si>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</si>
  <si>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</si>
  <si>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</si>
  <si>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</si>
  <si>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</si>
  <si>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</si>
  <si>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</si>
  <si>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</si>
  <si>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</si>
  <si>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</si>
  <si>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</si>
  <si>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</si>
  <si>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</si>
  <si>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</si>
  <si>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</si>
  <si>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</si>
  <si>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</si>
  <si>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</si>
  <si>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</si>
  <si>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</si>
  <si>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</si>
  <si>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</si>
  <si>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</si>
  <si>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</si>
  <si>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</si>
  <si>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</si>
  <si>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</si>
  <si>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</si>
  <si>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</si>
  <si>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</si>
  <si>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</si>
  <si>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</si>
  <si>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</si>
  <si>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</si>
  <si>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</si>
  <si>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</si>
  <si>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</si>
  <si>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</si>
  <si>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</si>
  <si>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</si>
  <si>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</si>
  <si>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</si>
  <si>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</si>
  <si>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</si>
  <si>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</si>
  <si>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</si>
  <si>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</si>
  <si>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</si>
  <si>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</si>
  <si>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</si>
  <si>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</si>
  <si>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</si>
  <si>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</si>
  <si>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</si>
  <si>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</si>
  <si>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</si>
  <si>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</si>
  <si>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</si>
  <si>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</si>
  <si>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</si>
  <si>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</si>
  <si>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</si>
  <si>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</si>
  <si>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</si>
  <si>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</si>
  <si>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</si>
  <si>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</si>
  <si>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</si>
  <si>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</si>
  <si>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</si>
  <si>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</si>
  <si>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</si>
  <si>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</si>
  <si>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</si>
  <si>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</si>
  <si>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</si>
  <si>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</si>
  <si>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</si>
  <si>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</si>
  <si>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</si>
  <si>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</si>
  <si>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</si>
  <si>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</si>
  <si>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</si>
  <si>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</si>
  <si>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</si>
  <si>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</si>
  <si>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</si>
  <si>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</si>
  <si>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</si>
  <si>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</si>
  <si>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</si>
  <si>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</si>
  <si>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</si>
  <si>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</si>
  <si>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</si>
  <si>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</si>
  <si>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</si>
  <si>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</si>
  <si>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</si>
  <si>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</si>
  <si>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</si>
  <si>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</si>
  <si>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</si>
  <si>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</si>
  <si>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</si>
  <si>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</si>
  <si>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</si>
  <si>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</si>
  <si>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</si>
  <si>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</si>
  <si>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</si>
  <si>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</si>
  <si>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</si>
  <si>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</si>
  <si>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</si>
  <si>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</si>
  <si>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</si>
  <si>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</si>
  <si>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</si>
  <si>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</si>
  <si>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</si>
  <si>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</si>
  <si>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</si>
  <si>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</si>
  <si>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</si>
  <si>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</si>
  <si>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</si>
  <si>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</si>
  <si>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</si>
  <si>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</si>
  <si>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</si>
  <si>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</si>
  <si>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</si>
  <si>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</si>
  <si>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</si>
  <si>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</si>
  <si>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</si>
  <si>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</si>
  <si>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</si>
  <si>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</si>
  <si>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</si>
  <si>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</si>
  <si>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</si>
  <si>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</si>
  <si>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</si>
  <si>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</si>
  <si>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</si>
  <si>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</si>
  <si>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</si>
  <si>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</si>
  <si>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</si>
  <si>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</si>
  <si>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</si>
  <si>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</si>
  <si>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</si>
  <si>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</si>
  <si>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</si>
  <si>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</si>
  <si>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</si>
  <si>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</si>
  <si>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</si>
  <si>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</si>
  <si>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</si>
  <si>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</si>
  <si>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</si>
  <si>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</si>
  <si>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</si>
  <si>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</si>
  <si>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</si>
  <si>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</si>
  <si>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</si>
  <si>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</si>
  <si>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</si>
  <si>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</si>
  <si>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</si>
  <si>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</si>
  <si>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</si>
  <si>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</si>
  <si>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</si>
  <si>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</si>
  <si>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</si>
  <si>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</si>
  <si>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</si>
  <si>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</si>
  <si>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</si>
  <si>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</si>
  <si>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</si>
  <si>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</si>
  <si>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</si>
  <si>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</si>
  <si>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</si>
  <si>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</si>
  <si>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</si>
  <si>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</si>
  <si>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</si>
  <si>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</si>
  <si>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</si>
  <si>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</si>
  <si>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</si>
  <si>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</si>
  <si>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</si>
  <si>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</si>
  <si>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</si>
  <si>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</si>
  <si>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</si>
  <si>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</si>
  <si>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</si>
  <si>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</si>
  <si>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</si>
  <si>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</si>
  <si>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</si>
  <si>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</si>
  <si>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</si>
  <si>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</si>
  <si>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</si>
  <si>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</si>
  <si>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</si>
  <si>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</si>
  <si>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</si>
  <si>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</si>
  <si>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</si>
  <si>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</si>
  <si>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</si>
  <si>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</si>
  <si>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</si>
  <si>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</si>
  <si>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</si>
  <si>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</si>
  <si>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</si>
  <si>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</si>
  <si>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</si>
  <si>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</si>
  <si>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</si>
  <si>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</si>
  <si>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</si>
  <si>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</si>
  <si>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</si>
  <si>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</si>
  <si>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</si>
  <si>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</si>
  <si>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</si>
  <si>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</si>
  <si>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</si>
  <si>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</si>
  <si>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</si>
  <si>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</si>
  <si>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</si>
  <si>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</si>
  <si>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</si>
  <si>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</si>
  <si>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</si>
  <si>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</si>
  <si>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</si>
  <si>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</si>
  <si>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</si>
  <si>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</si>
  <si>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</si>
  <si>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</si>
  <si>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</si>
  <si>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</si>
  <si>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</si>
  <si>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</si>
  <si>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</si>
  <si>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</si>
  <si>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</si>
  <si>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</si>
  <si>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</si>
  <si>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</si>
  <si>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</si>
  <si>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</si>
  <si>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</si>
  <si>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</si>
  <si>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</si>
  <si>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</si>
  <si>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</si>
  <si>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</si>
  <si>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</si>
  <si>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</si>
  <si>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</si>
  <si>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</si>
  <si>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</si>
  <si>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</si>
  <si>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</si>
  <si>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</si>
  <si>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</si>
  <si>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</si>
  <si>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</si>
  <si>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</si>
  <si>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</si>
  <si>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</si>
  <si>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</si>
  <si>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</si>
  <si>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</si>
  <si>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</si>
  <si>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</si>
  <si>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</si>
  <si>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</si>
  <si>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</si>
  <si>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</si>
  <si>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</si>
  <si>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</si>
  <si>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</si>
  <si>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</si>
  <si>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</si>
  <si>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</si>
  <si>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</si>
  <si>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</si>
  <si>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</si>
  <si>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</si>
  <si>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</si>
  <si>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</si>
  <si>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</si>
  <si>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</si>
  <si>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</si>
  <si>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</si>
  <si>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</si>
  <si>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</si>
  <si>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</si>
  <si>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</si>
  <si>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</si>
  <si>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</si>
  <si>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</si>
  <si>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</si>
  <si>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</si>
  <si>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</si>
  <si>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</si>
  <si>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</si>
  <si>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</si>
  <si>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</si>
  <si>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</si>
  <si>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</si>
  <si>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</si>
  <si>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</si>
  <si>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</si>
  <si>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</si>
  <si>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</si>
  <si>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</si>
  <si>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</si>
  <si>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</si>
  <si>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</si>
  <si>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</si>
  <si>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</si>
  <si>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</si>
  <si>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</si>
  <si>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</si>
  <si>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</si>
  <si>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</si>
  <si>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</si>
  <si>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</si>
  <si>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</si>
  <si>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</si>
  <si>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</si>
  <si>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</si>
  <si>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</si>
  <si>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</si>
  <si>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</si>
  <si>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</si>
  <si>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</si>
  <si>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</si>
  <si>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</si>
  <si>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</si>
  <si>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</si>
  <si>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</si>
  <si>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</si>
  <si>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</si>
  <si>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</si>
  <si>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</si>
  <si>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</si>
  <si>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</si>
  <si>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</si>
  <si>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</si>
  <si>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</si>
  <si>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</si>
  <si>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</si>
  <si>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</si>
  <si>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</si>
  <si>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</si>
  <si>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</si>
  <si>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</si>
  <si>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</si>
  <si>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</si>
  <si>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</si>
  <si>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</si>
  <si>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</si>
  <si>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</si>
  <si>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</si>
  <si>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</si>
  <si>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</si>
  <si>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</si>
  <si>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</si>
  <si>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</si>
  <si>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</si>
  <si>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</si>
  <si>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</si>
  <si>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</si>
  <si>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</si>
  <si>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</si>
  <si>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</si>
  <si>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</si>
  <si>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</si>
  <si>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</si>
  <si>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</si>
  <si>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</si>
  <si>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</si>
  <si>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</si>
  <si>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</si>
  <si>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</si>
  <si>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</si>
  <si>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</si>
  <si>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</si>
  <si>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</si>
  <si>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</si>
  <si>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</si>
  <si>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</si>
  <si>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</si>
  <si>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</si>
  <si>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</si>
  <si>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</si>
  <si>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</si>
  <si>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</si>
  <si>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</si>
  <si>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</si>
  <si>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</si>
  <si>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</si>
  <si>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</si>
  <si>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</si>
  <si>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</si>
  <si>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</si>
  <si>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</si>
  <si>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</si>
  <si>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</si>
  <si>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</si>
  <si>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</si>
  <si>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</si>
  <si>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</si>
  <si>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</si>
  <si>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</si>
  <si>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</si>
  <si>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</si>
  <si>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</si>
  <si>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</si>
  <si>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</si>
  <si>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</si>
  <si>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</si>
  <si>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</si>
  <si>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</si>
  <si>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</si>
  <si>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</si>
  <si>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</si>
  <si>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</si>
  <si>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</si>
  <si>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</si>
  <si>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</si>
  <si>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</si>
  <si>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</si>
  <si>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</si>
  <si>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</si>
  <si>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</si>
  <si>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</si>
  <si>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</si>
  <si>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</si>
  <si>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</si>
  <si>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</si>
  <si>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</si>
  <si>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</si>
  <si>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</si>
  <si>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</si>
  <si>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</si>
  <si>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</si>
  <si>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</si>
  <si>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</si>
  <si>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</si>
  <si>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</si>
  <si>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</si>
  <si>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</si>
  <si>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</si>
  <si>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</si>
  <si>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</si>
  <si>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</si>
  <si>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</si>
  <si>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</si>
  <si>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</si>
  <si>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</si>
  <si>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</si>
  <si>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</si>
  <si>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</si>
  <si>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</si>
  <si>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</si>
  <si>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</si>
  <si>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</si>
  <si>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</si>
  <si>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</si>
  <si>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</si>
  <si>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</si>
  <si>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</si>
  <si>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</si>
  <si>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</si>
  <si>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</si>
  <si>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</si>
  <si>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</si>
  <si>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</si>
  <si>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</si>
  <si>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</si>
  <si>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</si>
  <si>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</si>
  <si>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</si>
  <si>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</si>
  <si>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</si>
  <si>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</si>
  <si>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</si>
  <si>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</si>
  <si>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</si>
  <si>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</si>
  <si>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</si>
  <si>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</si>
  <si>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</si>
  <si>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</si>
  <si>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</si>
  <si>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</si>
  <si>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</si>
  <si>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</si>
  <si>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</si>
  <si>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</si>
  <si>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</si>
  <si>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</si>
  <si>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</si>
  <si>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</si>
  <si>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</si>
  <si>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</si>
  <si>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</si>
  <si>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</si>
  <si>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</si>
  <si>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</si>
  <si>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</si>
  <si>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</si>
  <si>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</si>
  <si>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</si>
  <si>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</si>
  <si>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</si>
  <si>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</si>
  <si>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</si>
  <si>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</si>
  <si>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</si>
  <si>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</si>
  <si>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</si>
  <si>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</si>
  <si>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</si>
  <si>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</si>
  <si>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</si>
  <si>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</si>
  <si>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</si>
  <si>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</si>
  <si>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</si>
  <si>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</si>
  <si>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</si>
  <si>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</si>
  <si>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</si>
  <si>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</si>
  <si>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</si>
  <si>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</si>
  <si>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</si>
  <si>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</si>
  <si>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</si>
  <si>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</si>
  <si>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</si>
  <si>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</si>
  <si>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</si>
  <si>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</si>
  <si>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</si>
  <si>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</si>
  <si>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</si>
  <si>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</si>
  <si>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</si>
  <si>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</si>
  <si>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</si>
  <si>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</si>
  <si>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</si>
  <si>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</si>
  <si>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</si>
  <si>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</si>
  <si>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</si>
  <si>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</si>
  <si>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</si>
  <si>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</si>
  <si>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</si>
  <si>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</si>
  <si>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</si>
  <si>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</si>
  <si>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</si>
  <si>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</si>
  <si>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</si>
  <si>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</si>
  <si>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</si>
  <si>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</si>
  <si>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</si>
  <si>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</si>
  <si>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</si>
  <si>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</si>
  <si>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</si>
  <si>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</si>
  <si>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</si>
  <si>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</si>
  <si>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</si>
  <si>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</si>
  <si>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</si>
  <si>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</si>
  <si>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</si>
  <si>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</si>
  <si>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</si>
  <si>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</si>
  <si>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</si>
  <si>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</si>
  <si>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</si>
  <si>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</si>
  <si>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</si>
  <si>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</si>
  <si>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</si>
  <si>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</si>
  <si>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</si>
  <si>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</si>
  <si>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</si>
  <si>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</si>
  <si>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</si>
  <si>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</si>
  <si>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</si>
  <si>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</si>
  <si>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</si>
  <si>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</si>
  <si>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</si>
  <si>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</si>
  <si>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</si>
  <si>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</si>
  <si>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</si>
  <si>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</si>
  <si>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</si>
  <si>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</si>
  <si>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</si>
  <si>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</si>
  <si>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</si>
  <si>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</si>
  <si>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</si>
  <si>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</si>
  <si>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</si>
  <si>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</si>
  <si>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</si>
  <si>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</si>
  <si>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</si>
  <si>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</si>
  <si>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</si>
  <si>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</si>
  <si>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</si>
  <si>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</si>
  <si>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</si>
  <si>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</si>
  <si>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</si>
  <si>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</si>
  <si>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</si>
  <si>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</si>
  <si>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</si>
  <si>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</si>
  <si>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</si>
  <si>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</si>
  <si>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</si>
  <si>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</si>
  <si>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</si>
  <si>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</si>
  <si>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</si>
  <si>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</si>
  <si>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</si>
  <si>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</si>
  <si>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</si>
  <si>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</si>
  <si>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</si>
  <si>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</si>
  <si>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</si>
  <si>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</si>
  <si>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</si>
  <si>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</si>
  <si>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</si>
  <si>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</si>
  <si>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</si>
  <si>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</si>
  <si>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</si>
  <si>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</si>
  <si>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</si>
  <si>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</si>
  <si>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</si>
  <si>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</si>
  <si>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</si>
  <si>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</si>
  <si>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</si>
  <si>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</si>
  <si>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</si>
  <si>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</si>
  <si>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</si>
  <si>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</si>
  <si>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</si>
  <si>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</si>
  <si>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</si>
  <si>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</si>
  <si>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</si>
  <si>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</si>
  <si>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</si>
  <si>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</si>
  <si>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</si>
  <si>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</si>
  <si>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</si>
  <si>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</si>
  <si>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</si>
  <si>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</si>
  <si>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</si>
  <si>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</si>
  <si>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</si>
  <si>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</si>
  <si>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</si>
  <si>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</si>
  <si>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</si>
  <si>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</si>
  <si>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</si>
  <si>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</si>
  <si>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</si>
  <si>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</si>
  <si>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</si>
  <si>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</si>
  <si>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</si>
  <si>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</si>
  <si>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</si>
  <si>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</si>
  <si>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</si>
  <si>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</si>
  <si>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</si>
  <si>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</si>
  <si>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</si>
  <si>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</si>
  <si>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</si>
  <si>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</si>
  <si>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</si>
  <si>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</si>
  <si>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</si>
  <si>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</si>
  <si>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</si>
  <si>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</si>
  <si>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</si>
  <si>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</si>
  <si>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</si>
  <si>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</si>
  <si>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</si>
  <si>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</si>
  <si>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</si>
  <si>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</si>
  <si>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</si>
  <si>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</si>
  <si>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</si>
  <si>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</si>
  <si>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</si>
  <si>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</si>
  <si>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</si>
  <si>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</si>
  <si>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</si>
  <si>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</si>
  <si>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</si>
  <si>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</si>
  <si>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</si>
  <si>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</si>
  <si>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</si>
  <si>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</si>
  <si>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</si>
  <si>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</si>
  <si>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</si>
  <si>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</si>
  <si>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</si>
  <si>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</si>
  <si>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</si>
  <si>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</si>
  <si>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</si>
  <si>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</si>
  <si>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</si>
  <si>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</si>
  <si>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</si>
  <si>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</si>
  <si>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</si>
  <si>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</si>
  <si>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</si>
  <si>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</si>
  <si>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</si>
  <si>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</si>
  <si>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</si>
  <si>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</si>
  <si>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</si>
  <si>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</si>
  <si>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</si>
  <si>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</si>
  <si>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</si>
  <si>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</si>
  <si>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</si>
  <si>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</si>
  <si>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</si>
  <si>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</si>
  <si>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</si>
  <si>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</si>
  <si>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</si>
  <si>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</si>
  <si>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</si>
  <si>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</si>
  <si>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</si>
  <si>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</si>
  <si>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</si>
  <si>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</si>
  <si>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</si>
  <si>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</si>
  <si>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</si>
  <si>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</si>
  <si>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</si>
  <si>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</si>
  <si>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</si>
  <si>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</si>
  <si>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</si>
  <si>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</si>
  <si>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</si>
  <si>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</si>
  <si>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</si>
  <si>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</si>
  <si>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</si>
  <si>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</si>
  <si>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</si>
  <si>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</si>
  <si>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</si>
  <si>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</si>
  <si>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</si>
  <si>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</si>
  <si>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</si>
  <si>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</si>
  <si>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</si>
  <si>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</si>
  <si>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</si>
  <si>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</si>
  <si>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</si>
  <si>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</si>
  <si>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</si>
  <si>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</si>
  <si>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</si>
  <si>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</si>
  <si>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</si>
  <si>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</si>
  <si>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</si>
  <si>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</si>
  <si>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</si>
  <si>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</si>
  <si>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</si>
  <si>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</si>
  <si>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</si>
  <si>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</si>
  <si>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</si>
  <si>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</si>
  <si>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</si>
  <si>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</si>
  <si>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</si>
  <si>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</si>
  <si>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</si>
  <si>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</si>
  <si>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</si>
  <si>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</si>
  <si>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</si>
  <si>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</si>
  <si>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</si>
  <si>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</si>
  <si>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</si>
  <si>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</si>
  <si>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</si>
  <si>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</si>
  <si>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</si>
  <si>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</si>
  <si>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</si>
  <si>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</si>
  <si>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</si>
  <si>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</si>
  <si>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</si>
  <si>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</si>
  <si>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</si>
  <si>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</si>
  <si>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</si>
  <si>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</si>
  <si>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</si>
  <si>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</si>
  <si>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</si>
  <si>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</si>
  <si>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</si>
  <si>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</si>
  <si>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</si>
  <si>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</si>
  <si>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</si>
  <si>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</si>
  <si>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</si>
  <si>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</si>
  <si>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</si>
  <si>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</si>
  <si>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</si>
  <si>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</si>
  <si>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</si>
  <si>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</si>
  <si>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</si>
  <si>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</si>
  <si>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</si>
  <si>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</si>
  <si>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</si>
  <si>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</si>
  <si>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</si>
  <si>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</si>
  <si>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</si>
  <si>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</si>
  <si>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</si>
  <si>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</si>
  <si>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</si>
  <si>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</si>
  <si>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</si>
  <si>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</si>
  <si>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</si>
  <si>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</si>
  <si>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</si>
  <si>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</si>
  <si>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</si>
  <si>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</si>
  <si>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</si>
  <si>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</si>
  <si>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</si>
  <si>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</si>
  <si>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</si>
  <si>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</si>
  <si>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</si>
  <si>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</si>
  <si>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</si>
  <si>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</si>
  <si>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</si>
  <si>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</si>
  <si>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</si>
  <si>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</si>
  <si>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</si>
  <si>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</si>
  <si>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</si>
  <si>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</si>
  <si>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</si>
  <si>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</si>
  <si>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</si>
  <si>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</si>
  <si>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</si>
  <si>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</si>
  <si>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</si>
  <si>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</si>
  <si>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</si>
  <si>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</si>
  <si>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</si>
  <si>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</si>
  <si>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</si>
  <si>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</si>
  <si>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</si>
  <si>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</si>
  <si>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</si>
  <si>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</si>
  <si>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</si>
  <si>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</si>
  <si>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</si>
  <si>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</si>
  <si>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</si>
  <si>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</si>
  <si>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</si>
  <si>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</si>
  <si>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</si>
  <si>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</si>
  <si>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</si>
  <si>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</si>
  <si>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</si>
  <si>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</si>
  <si>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</si>
  <si>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</si>
  <si>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</si>
  <si>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</si>
  <si>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</si>
  <si>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</si>
  <si>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</si>
  <si>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</si>
  <si>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</si>
  <si>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</si>
  <si>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</si>
  <si>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</si>
  <si>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</si>
  <si>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</si>
  <si>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</si>
  <si>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</si>
  <si>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</si>
  <si>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</si>
  <si>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</si>
  <si>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</si>
  <si>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</si>
  <si>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</si>
  <si>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</si>
  <si>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</si>
  <si>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</si>
  <si>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</si>
  <si>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</si>
  <si>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</si>
  <si>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</si>
  <si>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</si>
  <si>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</si>
  <si>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</si>
  <si>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</si>
  <si>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</si>
  <si>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</si>
  <si>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</si>
  <si>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</si>
  <si>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</si>
  <si>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</si>
  <si>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</si>
  <si>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</si>
  <si>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</si>
  <si>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</si>
  <si>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</si>
  <si>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</si>
  <si>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</si>
  <si>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</si>
  <si>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</si>
  <si>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</si>
  <si>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</si>
  <si>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</si>
  <si>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</si>
  <si>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</si>
  <si>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</si>
  <si>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</si>
  <si>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</si>
  <si>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</si>
  <si>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</si>
  <si>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</si>
  <si>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</si>
  <si>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</si>
  <si>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</si>
  <si>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</si>
  <si>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</si>
  <si>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</si>
  <si>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</si>
  <si>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</si>
  <si>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</si>
  <si>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</si>
  <si>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</si>
  <si>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</si>
  <si>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</si>
  <si>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</si>
  <si>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</si>
  <si>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</si>
  <si>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</si>
  <si>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</si>
  <si>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</si>
  <si>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</si>
  <si>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</si>
  <si>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</si>
  <si>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</si>
  <si>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</si>
  <si>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</si>
  <si>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</si>
  <si>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</si>
  <si>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</si>
  <si>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</si>
  <si>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</si>
  <si>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</si>
  <si>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</si>
  <si>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</si>
  <si>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</si>
  <si>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</si>
  <si>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</si>
  <si>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</si>
  <si>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</si>
  <si>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</si>
  <si>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</si>
  <si>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</si>
  <si>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</si>
  <si>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</si>
  <si>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</si>
  <si>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</si>
  <si>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</si>
  <si>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</si>
  <si>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</si>
  <si>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</si>
  <si>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</si>
  <si>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</si>
  <si>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</si>
  <si>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</si>
  <si>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</si>
  <si>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</si>
  <si>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</si>
  <si>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</si>
  <si>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</si>
  <si>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</si>
  <si>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</si>
  <si>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</si>
  <si>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</si>
  <si>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</si>
  <si>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</si>
  <si>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</si>
  <si>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</si>
  <si>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</si>
  <si>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</si>
  <si>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</si>
  <si>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</si>
  <si>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</si>
  <si>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</si>
  <si>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</si>
  <si>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</si>
  <si>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</si>
  <si>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</si>
  <si>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</si>
  <si>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</si>
  <si>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</si>
  <si>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</si>
  <si>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</si>
  <si>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</si>
  <si>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</si>
  <si>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</si>
  <si>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</si>
  <si>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</si>
  <si>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</si>
  <si>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</si>
  <si>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</si>
  <si>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</si>
  <si>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</si>
  <si>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</si>
  <si>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</si>
  <si>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</si>
  <si>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</si>
  <si>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</si>
  <si>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</si>
  <si>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</si>
  <si>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</si>
  <si>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</si>
  <si>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</si>
  <si>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</si>
  <si>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</si>
  <si>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</si>
  <si>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</si>
  <si>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</si>
  <si>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</si>
  <si>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</si>
  <si>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</si>
  <si>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</si>
  <si>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</si>
  <si>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</si>
  <si>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</si>
  <si>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</si>
  <si>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</si>
  <si>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</si>
  <si>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</si>
  <si>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</si>
  <si>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</si>
  <si>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</si>
  <si>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</si>
  <si>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</si>
  <si>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</si>
  <si>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</si>
  <si>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</si>
  <si>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</si>
  <si>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</si>
  <si>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</si>
  <si>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</si>
  <si>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</si>
  <si>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</si>
  <si>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</si>
  <si>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</si>
  <si>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</si>
  <si>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</si>
  <si>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</si>
  <si>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</si>
  <si>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</si>
  <si>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</si>
  <si>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</si>
  <si>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</si>
  <si>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</si>
  <si>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</si>
  <si>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</si>
  <si>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</si>
  <si>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</si>
  <si>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</si>
  <si>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</si>
  <si>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</si>
  <si>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</si>
  <si>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</si>
  <si>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</si>
  <si>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</si>
  <si>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</si>
  <si>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</si>
  <si>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</si>
  <si>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</si>
  <si>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</si>
  <si>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</si>
  <si>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</si>
  <si>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</si>
  <si>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</si>
  <si>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</si>
  <si>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</si>
  <si>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</si>
  <si>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</si>
  <si>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</si>
  <si>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</si>
  <si>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</si>
  <si>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</si>
  <si>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</si>
  <si>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</si>
  <si>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</si>
  <si>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</si>
  <si>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</si>
  <si>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</si>
  <si>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</si>
  <si>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</si>
  <si>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</si>
  <si>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</si>
  <si>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</si>
  <si>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</si>
  <si>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</si>
  <si>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</si>
  <si>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</si>
  <si>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</si>
  <si>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</si>
  <si>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</si>
  <si>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</si>
  <si>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</si>
  <si>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</si>
  <si>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</si>
  <si>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</si>
  <si>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</si>
  <si>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</si>
  <si>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</si>
  <si>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</si>
  <si>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</si>
  <si>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</si>
  <si>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</si>
  <si>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</si>
  <si>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</si>
  <si>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</si>
  <si>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</si>
  <si>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</si>
  <si>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</si>
  <si>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</si>
  <si>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</si>
  <si>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</si>
  <si>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</si>
  <si>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</si>
  <si>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</si>
  <si>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</si>
  <si>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</si>
  <si>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</si>
  <si>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</si>
  <si>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</si>
  <si>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</si>
  <si>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</si>
  <si>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</si>
  <si>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</si>
  <si>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</si>
  <si>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</si>
  <si>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</si>
  <si>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</si>
  <si>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</si>
  <si>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</si>
  <si>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</si>
  <si>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</si>
  <si>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</si>
  <si>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</si>
  <si>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</si>
  <si>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</si>
  <si>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</si>
  <si>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</si>
  <si>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</si>
  <si>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</si>
  <si>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</si>
  <si>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</si>
  <si>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</si>
  <si>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</si>
  <si>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</si>
  <si>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</si>
  <si>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</si>
  <si>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</si>
  <si>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</si>
  <si>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</si>
  <si>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</si>
  <si>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</si>
  <si>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</si>
  <si>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</si>
  <si>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</si>
  <si>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</si>
  <si>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</si>
  <si>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</si>
  <si>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</si>
  <si>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</si>
  <si>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</si>
  <si>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</si>
  <si>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</si>
  <si>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</si>
  <si>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</si>
  <si>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</si>
  <si>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</si>
  <si>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</si>
  <si>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</si>
  <si>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</si>
  <si>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</si>
  <si>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</si>
  <si>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</si>
  <si>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</si>
  <si>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</si>
  <si>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</si>
  <si>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</si>
  <si>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</si>
  <si>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</si>
  <si>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</si>
  <si>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</si>
  <si>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</si>
  <si>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</si>
  <si>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</si>
  <si>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</si>
  <si>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</si>
  <si>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</si>
  <si>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</si>
  <si>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</si>
  <si>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</si>
  <si>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</si>
  <si>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</si>
  <si>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</si>
  <si>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</si>
  <si>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</si>
  <si>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</si>
  <si>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</si>
  <si>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</si>
  <si>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</si>
  <si>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</si>
  <si>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</si>
  <si>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</si>
  <si>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</si>
  <si>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</si>
  <si>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</si>
  <si>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</si>
  <si>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</si>
  <si>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</si>
  <si>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</si>
  <si>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</si>
  <si>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</si>
  <si>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</si>
  <si>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</si>
  <si>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</si>
  <si>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</si>
  <si>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</si>
  <si>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</si>
  <si>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</si>
  <si>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</si>
  <si>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</si>
  <si>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</si>
  <si>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</si>
  <si>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</si>
  <si>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</si>
  <si>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</si>
  <si>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</si>
  <si>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</si>
  <si>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</si>
  <si>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</si>
  <si>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</si>
  <si>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</si>
  <si>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</si>
  <si>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</si>
  <si>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</si>
  <si>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</si>
  <si>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</si>
  <si>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</si>
  <si>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</si>
  <si>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</si>
  <si>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</si>
  <si>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</si>
  <si>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</si>
  <si>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</si>
  <si>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</si>
  <si>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</si>
  <si>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</si>
  <si>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</si>
  <si>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</si>
  <si>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</si>
  <si>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</si>
  <si>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</si>
  <si>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</si>
  <si>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</si>
  <si>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</si>
  <si>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</si>
  <si>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</si>
  <si>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</si>
  <si>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</si>
  <si>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</si>
  <si>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</si>
  <si>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</si>
  <si>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</si>
  <si>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</si>
  <si>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</si>
  <si>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</si>
  <si>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</si>
  <si>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</si>
  <si>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</si>
  <si>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</si>
  <si>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</si>
  <si>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</si>
  <si>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</si>
  <si>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</si>
  <si>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</si>
  <si>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</si>
  <si>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</si>
  <si>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</si>
  <si>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</si>
  <si>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</si>
  <si>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</si>
  <si>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</si>
  <si>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</si>
  <si>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</si>
  <si>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</si>
  <si>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</si>
  <si>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</si>
  <si>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</si>
  <si>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</si>
  <si>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</si>
  <si>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</si>
  <si>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</si>
  <si>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</si>
  <si>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</si>
  <si>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</si>
  <si>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</si>
  <si>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</si>
  <si>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</si>
  <si>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</si>
  <si>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</si>
  <si>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</si>
  <si>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</si>
  <si>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</si>
  <si>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</si>
  <si>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</si>
  <si>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</si>
  <si>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</si>
  <si>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</si>
  <si>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</si>
  <si>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</si>
  <si>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</si>
  <si>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</si>
  <si>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</si>
  <si>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</si>
  <si>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</si>
  <si>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</si>
  <si>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</si>
  <si>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</si>
  <si>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</si>
  <si>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</si>
  <si>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</si>
  <si>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</si>
  <si>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</si>
  <si>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</si>
  <si>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</si>
  <si>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</si>
  <si>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</si>
  <si>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</si>
  <si>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</si>
  <si>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</si>
  <si>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</si>
  <si>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</si>
  <si>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</si>
  <si>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</si>
  <si>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</si>
  <si>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</si>
  <si>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</si>
  <si>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</si>
  <si>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</si>
  <si>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</si>
  <si>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</si>
  <si>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</si>
  <si>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</si>
  <si>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</si>
  <si>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</si>
  <si>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</si>
  <si>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</si>
  <si>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</si>
  <si>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</si>
  <si>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</si>
  <si>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</si>
  <si>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</si>
  <si>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</si>
  <si>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</si>
  <si>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</si>
  <si>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</si>
  <si>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</si>
  <si>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</si>
  <si>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</si>
  <si>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</si>
  <si>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</si>
  <si>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</si>
  <si>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</si>
  <si>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</si>
  <si>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</si>
  <si>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</si>
  <si>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</si>
  <si>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</si>
  <si>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</si>
  <si>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</si>
  <si>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</si>
  <si>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</si>
  <si>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</si>
  <si>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</si>
  <si>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</si>
  <si>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</si>
  <si>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</si>
  <si>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</si>
  <si>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</si>
  <si>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</si>
  <si>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</si>
  <si>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</si>
  <si>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</si>
  <si>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</si>
  <si>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</si>
  <si>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</si>
  <si>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</si>
  <si>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</si>
  <si>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</si>
  <si>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</si>
  <si>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</si>
  <si>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</si>
  <si>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</si>
  <si>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</si>
  <si>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</si>
  <si>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</si>
  <si>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</si>
  <si>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</si>
  <si>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</si>
  <si>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</si>
  <si>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</si>
  <si>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</si>
  <si>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</si>
  <si>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</si>
  <si>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</si>
  <si>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</si>
  <si>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</si>
  <si>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</si>
  <si>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</si>
  <si>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</si>
  <si>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</si>
  <si>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</si>
  <si>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</si>
  <si>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</si>
  <si>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</si>
  <si>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</si>
  <si>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</si>
  <si>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</si>
  <si>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</si>
  <si>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</si>
  <si>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</si>
  <si>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</si>
  <si>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</si>
  <si>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</si>
  <si>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</si>
  <si>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</si>
  <si>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</si>
  <si>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</si>
  <si>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</si>
  <si>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</si>
  <si>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</si>
  <si>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</si>
  <si>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</si>
  <si>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</si>
  <si>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</si>
  <si>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</si>
  <si>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</si>
  <si>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</si>
  <si>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</si>
  <si>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</si>
  <si>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</si>
  <si>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</si>
  <si>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</si>
  <si>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</si>
  <si>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</si>
  <si>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</si>
  <si>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</si>
  <si>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</si>
  <si>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</si>
  <si>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</si>
  <si>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</si>
  <si>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</si>
  <si>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</si>
  <si>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</si>
  <si>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</si>
  <si>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</si>
  <si>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</si>
  <si>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</si>
  <si>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</si>
  <si>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</si>
  <si>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</si>
  <si>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</si>
  <si>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</si>
  <si>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</si>
  <si>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</si>
  <si>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</si>
  <si>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</si>
  <si>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</si>
  <si>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</si>
  <si>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</si>
  <si>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</si>
  <si>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</si>
  <si>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</si>
  <si>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</si>
  <si>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</si>
  <si>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</si>
  <si>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</si>
  <si>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</si>
  <si>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</si>
  <si>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</si>
  <si>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</si>
  <si>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</si>
  <si>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</si>
  <si>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</si>
  <si>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</si>
  <si>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</si>
  <si>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</si>
  <si>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</si>
  <si>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</si>
  <si>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</si>
  <si>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</si>
  <si>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</si>
  <si>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</si>
  <si>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</si>
  <si>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</si>
  <si>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</si>
  <si>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</si>
  <si>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</si>
  <si>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</si>
  <si>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</si>
  <si>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</si>
  <si>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</si>
  <si>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</si>
  <si>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</si>
  <si>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</si>
  <si>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</si>
  <si>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</si>
  <si>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</si>
  <si>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</si>
  <si>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</si>
  <si>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</si>
  <si>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</si>
  <si>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</si>
  <si>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</si>
  <si>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</si>
  <si>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</si>
  <si>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</si>
  <si>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</si>
  <si>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</si>
  <si>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</si>
  <si>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</si>
  <si>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</si>
  <si>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</si>
  <si>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</si>
  <si>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</si>
  <si>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</si>
  <si>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</si>
  <si>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</si>
  <si>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</si>
  <si>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</si>
  <si>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</si>
  <si>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</si>
  <si>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</si>
  <si>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</si>
  <si>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</si>
  <si>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</si>
  <si>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</si>
  <si>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</si>
  <si>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</si>
  <si>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</si>
  <si>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</si>
  <si>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</si>
  <si>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</si>
  <si>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</si>
  <si>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</si>
  <si>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</si>
  <si>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</si>
  <si>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</si>
  <si>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</si>
  <si>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</si>
  <si>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</si>
  <si>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</si>
  <si>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</si>
  <si>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</si>
  <si>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</si>
  <si>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</si>
  <si>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</si>
  <si>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</si>
  <si>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</si>
  <si>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</si>
  <si>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</si>
  <si>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Added the NETsedrates used in R as user inputs, for performing verification.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</si>
</sst>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9" zoomScaleNormal="100" workbookViewId="0">
      <selection activeCell="H46" sqref="H46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/>
    </row>
    <row r="43" spans="2:12" ht="12.75" customHeight="1" x14ac:dyDescent="0.2">
      <c r="D43" s="2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zoomScaleNormal="100" workbookViewId="0">
      <selection activeCell="J6" sqref="J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1.955784278052216E-26</v>
      </c>
      <c r="AY8" s="75"/>
      <c r="AZ8" s="295">
        <f>output!AF12</f>
        <v>7.2658870474780106E-6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5.9329786864386301E-3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19834.490020791491</v>
      </c>
      <c r="D11" s="117">
        <f>C11/$C$51</f>
        <v>2.4974707182440392E-6</v>
      </c>
      <c r="E11" s="517">
        <f>M.aC*Molweight</f>
        <v>19750.924346705742</v>
      </c>
      <c r="F11" s="117">
        <f>E11/$E$51</f>
        <v>6.3013190501683228E-6</v>
      </c>
      <c r="G11" s="517">
        <f>M.aM*Molweight</f>
        <v>3028.2530806924142</v>
      </c>
      <c r="H11" s="117">
        <f>G11/$G$51</f>
        <v>1.2017498865964738E-8</v>
      </c>
      <c r="I11" s="517">
        <f>M.aA*Molweight</f>
        <v>131.88773784778036</v>
      </c>
      <c r="J11" s="117">
        <f>I11/$I$51</f>
        <v>7.9092312519722908E-10</v>
      </c>
      <c r="K11" s="517">
        <f>M.aT*Molweight</f>
        <v>234.41299510630341</v>
      </c>
      <c r="L11" s="118">
        <f>K11/$K$51</f>
        <v>3.7742726372586896E-10</v>
      </c>
      <c r="M11" s="320">
        <f>C.aR*(Molweight*1000)</f>
        <v>8.6398440653358399E-8</v>
      </c>
      <c r="N11" s="320">
        <f>C.aC*(Molweight*1000)</f>
        <v>2.7434697151377908E-9</v>
      </c>
      <c r="O11" s="320">
        <f>C.aM*(Molweight*1000)</f>
        <v>3.9038378437615802E-11</v>
      </c>
      <c r="P11" s="320">
        <f>C.aA*(Molweight*1000)</f>
        <v>3.1032408905360086E-12</v>
      </c>
      <c r="Q11" s="321">
        <f>C.aT*(Molweight*1000)</f>
        <v>1.838533294951399E-12</v>
      </c>
      <c r="R11" s="119" t="s">
        <v>1493</v>
      </c>
      <c r="S11" s="323">
        <f>F.aR</f>
        <v>1.6813423221396697E-6</v>
      </c>
      <c r="T11" s="323">
        <f>F.aC</f>
        <v>5.3388830940553909E-8</v>
      </c>
      <c r="U11" s="323">
        <f>F.aM</f>
        <v>7.5969979734022877E-10</v>
      </c>
      <c r="V11" s="323">
        <f>F.aA</f>
        <v>5.5728405657933696E-11</v>
      </c>
      <c r="W11" s="324">
        <f>F.aT</f>
        <v>3.7410468237839418E-11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2.4974707182440392E-6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2.1737135841913555E-6</v>
      </c>
      <c r="D12" s="122">
        <f>C12/$C$51</f>
        <v>2.7370434131033809E-16</v>
      </c>
      <c r="E12" s="318">
        <f>FRgas.aC*E11</f>
        <v>2.1645554036310341E-6</v>
      </c>
      <c r="F12" s="122">
        <f>E12/$E$51</f>
        <v>6.9057801855840544E-16</v>
      </c>
      <c r="G12" s="318">
        <f>FRgas.aM*G11</f>
        <v>3.3187416721933679E-7</v>
      </c>
      <c r="H12" s="122">
        <f>G12/$G$51</f>
        <v>1.3170290995921128E-18</v>
      </c>
      <c r="I12" s="318">
        <f>FRgas.aA*I11</f>
        <v>3.5432624311340488E-9</v>
      </c>
      <c r="J12" s="122">
        <f>I12/$I$51</f>
        <v>2.1248739580786117E-20</v>
      </c>
      <c r="K12" s="318">
        <f>FRgas.aT*K11</f>
        <v>3.9811981636810676E-8</v>
      </c>
      <c r="L12" s="123">
        <f>K12/$K$51</f>
        <v>6.4101084864650237E-20</v>
      </c>
      <c r="M12" s="320">
        <f>FRgas.aR*M11</f>
        <v>9.4686308498120626E-18</v>
      </c>
      <c r="N12" s="320">
        <f>FRgas.aC*N11</f>
        <v>3.0066401411689192E-19</v>
      </c>
      <c r="O12" s="320">
        <f>FRgas.aM*O11</f>
        <v>4.2783178909916905E-21</v>
      </c>
      <c r="P12" s="320">
        <f>FRgas.aA*P11</f>
        <v>8.3370880732565863E-23</v>
      </c>
      <c r="Q12" s="320">
        <f>FRgas.aT*Q11</f>
        <v>3.1225083636714251E-22</v>
      </c>
      <c r="R12" s="120" t="s">
        <v>1493</v>
      </c>
      <c r="S12" s="325">
        <f>S11*FRgas.aR</f>
        <v>1.8426269803154717E-16</v>
      </c>
      <c r="T12" s="325">
        <f>T11*FRgas.aC</f>
        <v>5.8510214751136188E-18</v>
      </c>
      <c r="U12" s="325">
        <f>U11*FRgas.aM</f>
        <v>8.3257485705698907E-20</v>
      </c>
      <c r="V12" s="325">
        <f>V11*FRgas.aA</f>
        <v>1.4971851768559077E-21</v>
      </c>
      <c r="W12" s="326">
        <f>W11*FRgas.aT</f>
        <v>6.353678787449195E-21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5.9329786864386301E-3</v>
      </c>
      <c r="AE12" s="325">
        <f>k.aR.aC*M.aR*Molweight</f>
        <v>0.18684372716400222</v>
      </c>
      <c r="AF12" s="325">
        <f>kesc.aR*M.aR*Molweight</f>
        <v>7.2658870474780106E-6</v>
      </c>
      <c r="AG12" s="326">
        <f>KDEG.aR*M.aR*Molweight</f>
        <v>1.955784278052216E-26</v>
      </c>
      <c r="AH12" s="325">
        <f>SUM(AH13:AH15)</f>
        <v>4.6607968608840273E-3</v>
      </c>
      <c r="AI12" s="325">
        <f>SUM(AI13:AI15)</f>
        <v>3.4368051653861862E-17</v>
      </c>
      <c r="AJ12" s="325">
        <f>SUM(AJ18:AJ20)</f>
        <v>0.13151910861215099</v>
      </c>
      <c r="AK12" s="325">
        <f>SUM(AK18:AK20)</f>
        <v>2.5595076070385662E-16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162898.24261491038</v>
      </c>
      <c r="BS12" s="425"/>
      <c r="BT12" s="425">
        <f>engine!F45</f>
        <v>45308535.654054955</v>
      </c>
      <c r="BU12" s="425">
        <f>engine!G45</f>
        <v>2545802.8275364079</v>
      </c>
      <c r="BV12" s="425">
        <f>engine!H45</f>
        <v>1040697098.0544603</v>
      </c>
      <c r="BW12" s="425">
        <f>engine!I45</f>
        <v>17971382.243930653</v>
      </c>
      <c r="BX12" s="425">
        <f>engine!J45</f>
        <v>2530387099.5084152</v>
      </c>
      <c r="BY12" s="425">
        <f>engine!K45</f>
        <v>60522476535.361671</v>
      </c>
      <c r="BZ12" s="425">
        <f>engine!L45</f>
        <v>937180407.2253387</v>
      </c>
      <c r="CA12" s="425">
        <f>engine!M45</f>
        <v>162211.92794600641</v>
      </c>
      <c r="CB12" s="425">
        <f>engine!N45</f>
        <v>21178203.252265774</v>
      </c>
      <c r="CC12" s="425">
        <f>engine!O45</f>
        <v>4394304.6145569496</v>
      </c>
      <c r="CD12" s="425">
        <f>engine!P45</f>
        <v>12500836785.328892</v>
      </c>
      <c r="CE12" s="425">
        <f>engine!Q45</f>
        <v>100933300.85205387</v>
      </c>
      <c r="CF12" s="425">
        <f>engine!R45</f>
        <v>4412307854.4841061</v>
      </c>
      <c r="CG12" s="425">
        <f>engine!S45</f>
        <v>1391591051.6064494</v>
      </c>
      <c r="CH12" s="425">
        <f>engine!T45</f>
        <v>6795727472.6056948</v>
      </c>
      <c r="CI12" s="425">
        <f>engine!U45</f>
        <v>515404093.18757379</v>
      </c>
      <c r="CJ12" s="425">
        <f>engine!V45</f>
        <v>24870.672476120351</v>
      </c>
      <c r="CK12" s="425">
        <f>engine!W45</f>
        <v>65247464552.341766</v>
      </c>
      <c r="CL12" s="611"/>
      <c r="CM12" s="425">
        <f>engine!Y45</f>
        <v>46059147923.933311</v>
      </c>
      <c r="CN12" s="425">
        <f>engine!Z45</f>
        <v>827676349.65877736</v>
      </c>
      <c r="CO12" s="425">
        <f>engine!AA45</f>
        <v>1083.177873257066</v>
      </c>
      <c r="CP12" s="425">
        <f>engine!AB45</f>
        <v>52268266816.034325</v>
      </c>
      <c r="CQ12" s="425"/>
      <c r="CR12" s="425">
        <f>engine!AD45</f>
        <v>30281725154.15572</v>
      </c>
      <c r="CS12" s="425">
        <f>engine!AE45</f>
        <v>59910149.718786396</v>
      </c>
      <c r="CT12" s="425">
        <f>engine!AF45</f>
        <v>1925.2052817534773</v>
      </c>
      <c r="CU12" s="425">
        <f>engine!AG45</f>
        <v>150126818340.07028</v>
      </c>
      <c r="CV12" s="425"/>
      <c r="CW12" s="425">
        <f>engine!AI45</f>
        <v>113815766953.84055</v>
      </c>
      <c r="CX12" s="425">
        <f>engine!AJ45</f>
        <v>23361642.725580592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19834.490018617777</v>
      </c>
      <c r="D13" s="122">
        <f>C13/$C$51</f>
        <v>2.4974707179703345E-6</v>
      </c>
      <c r="E13" s="318">
        <f>(1-FRgas.aC)*E11</f>
        <v>19750.924344541188</v>
      </c>
      <c r="F13" s="122">
        <f>E13/$E$51</f>
        <v>6.3013190494777453E-6</v>
      </c>
      <c r="G13" s="318">
        <f>(1-FRgas.aM)*G11</f>
        <v>3028.25308036054</v>
      </c>
      <c r="H13" s="122">
        <f>G13/$G$51</f>
        <v>1.201749886464771E-8</v>
      </c>
      <c r="I13" s="318">
        <f>(1-FRgas.aA)*I11</f>
        <v>131.88773784423711</v>
      </c>
      <c r="J13" s="122">
        <f>I13/$I$51</f>
        <v>7.9092312517598046E-10</v>
      </c>
      <c r="K13" s="318">
        <f>(1-FRgas.aT)*K11</f>
        <v>234.41299506649142</v>
      </c>
      <c r="L13" s="123">
        <f>K13/$K$51</f>
        <v>3.7742726366176784E-10</v>
      </c>
      <c r="M13" s="320">
        <f>(1-FRgas.aR)*M11</f>
        <v>8.6398440643889775E-8</v>
      </c>
      <c r="N13" s="320">
        <f>(1-FRgas.aC)*N11</f>
        <v>2.7434697148371268E-9</v>
      </c>
      <c r="O13" s="320">
        <f>(1-FRgas.aM)*O11</f>
        <v>3.9038378433337488E-11</v>
      </c>
      <c r="P13" s="320">
        <f>(1-FRgas.aA)*P11</f>
        <v>3.1032408904526379E-12</v>
      </c>
      <c r="Q13" s="320">
        <f>(1-FRgas.aT)*Q11</f>
        <v>1.838533294639148E-12</v>
      </c>
      <c r="R13" s="120" t="s">
        <v>1493</v>
      </c>
      <c r="S13" s="325">
        <f>S11*(1-FRgas.aR)</f>
        <v>1.681342321955407E-6</v>
      </c>
      <c r="T13" s="325">
        <f>T11*(1-FRgas.aC)</f>
        <v>5.338883093470289E-8</v>
      </c>
      <c r="U13" s="325">
        <f>U11*(1-FRgas.aM)</f>
        <v>7.5969979725697129E-10</v>
      </c>
      <c r="V13" s="325">
        <f>V11*(1-FRgas.aA)</f>
        <v>5.5728405656436512E-11</v>
      </c>
      <c r="W13" s="326">
        <f>W11*(1-FRgas.aT)</f>
        <v>3.741046823148574E-11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3.7524420564981127E-2</v>
      </c>
      <c r="AF13" s="330"/>
      <c r="AG13" s="326">
        <f>KDEG.w0R*M.w0R*Molweight</f>
        <v>6.3412489986257763E-14</v>
      </c>
      <c r="AH13" s="325">
        <f>k.aR.w0R*M.aR*Molweight</f>
        <v>3.3896677479358216E-4</v>
      </c>
      <c r="AI13" s="325">
        <f>k.w0R.aR*M.w0R*Molweight</f>
        <v>2.8287873773005835E-18</v>
      </c>
      <c r="AJ13" s="325"/>
      <c r="AK13" s="325"/>
      <c r="AL13" s="631">
        <f>SUM(AL18:AL20)*AREAFRAC.w0R/(AREAFRAC.w0R+AREAFRAC.w1R)</f>
        <v>3.7185453790250962E-2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0.40076142703055329</v>
      </c>
      <c r="AF14" s="330"/>
      <c r="AG14" s="326">
        <f>KDEG.w1R*M.w1R*Molweight</f>
        <v>2.0841867247033967E-14</v>
      </c>
      <c r="AH14" s="325">
        <f>k.aR.w1R*M.aR*Molweight</f>
        <v>3.7286345227294047E-3</v>
      </c>
      <c r="AI14" s="325">
        <f>k.w1R.aR*M.w1R*Molweight</f>
        <v>3.09913767253953E-17</v>
      </c>
      <c r="AJ14" s="325"/>
      <c r="AK14" s="325"/>
      <c r="AL14" s="631">
        <f>SUM(AL18:AL20)*AREAFRAC.w1R/(AREAFRAC.w0R+AREAFRAC.w1R)</f>
        <v>0.40903999169276062</v>
      </c>
      <c r="AM14" s="325">
        <f>k.w1R.sd1R*M.w1R*Molweight</f>
        <v>3.7594118752014771</v>
      </c>
      <c r="AN14" s="326">
        <f>k.sd1R.w1R*M.sd1R*Molweight</f>
        <v>3.3927823356139362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15653044.007106414</v>
      </c>
      <c r="D15" s="122">
        <f>C15/$C$51</f>
        <v>1.9709616439925796E-3</v>
      </c>
      <c r="E15" s="318">
        <f>M.w0C*Molweight</f>
        <v>2578658.0279958807</v>
      </c>
      <c r="F15" s="122">
        <f>E15/$E$51</f>
        <v>8.2269298744947535E-4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2.9590090514721051E-6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2.199218065004368E-22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0.42602866444477006</v>
      </c>
      <c r="AE15" s="325">
        <f>k.w2R.w2C*M.w2R*Molweight</f>
        <v>0.42462330811627519</v>
      </c>
      <c r="AF15" s="330"/>
      <c r="AG15" s="326">
        <f>KDEG.w2R*M.w2R*Molweight</f>
        <v>1.2281910662745467E-15</v>
      </c>
      <c r="AH15" s="325">
        <f>k.aR.w2R*M.aR*Molweight</f>
        <v>5.9319556336104046E-4</v>
      </c>
      <c r="AI15" s="325">
        <f>k.w2R.aR*M.w2R*Molweight</f>
        <v>5.4788755116597729E-19</v>
      </c>
      <c r="AJ15" s="325"/>
      <c r="AK15" s="325"/>
      <c r="AL15" s="631"/>
      <c r="AM15" s="325">
        <f>k.w2R.sd2R*M.w2R*Molweight</f>
        <v>2.2709219741980469E-2</v>
      </c>
      <c r="AN15" s="326">
        <f>k.sd2R.w2R*M.sd2R*Molweight</f>
        <v>2.0710667850125736E-2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15613986.556574339</v>
      </c>
      <c r="D16" s="122">
        <f>C16/$C$51</f>
        <v>1.9660437036305698E-3</v>
      </c>
      <c r="E16" s="318">
        <f>FRw.w0C*E15</f>
        <v>2572223.7645822046</v>
      </c>
      <c r="F16" s="122">
        <f>E16/$E$51</f>
        <v>8.2064020521454358E-4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2.9516257367890718E-6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2.1937305795833753E-22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0.36662953958702804</v>
      </c>
      <c r="AG16" s="326">
        <f>KDEG.sd1R*M.sd1R*Molweight</f>
        <v>5.1462394372905557E-13</v>
      </c>
      <c r="AH16" s="325"/>
      <c r="AI16" s="325"/>
      <c r="AJ16" s="325"/>
      <c r="AK16" s="325"/>
      <c r="AL16" s="631"/>
      <c r="AM16" s="325">
        <f>k.w1R.sd1R*M.w1R*Molweight</f>
        <v>3.7594118752014771</v>
      </c>
      <c r="AN16" s="326">
        <f>k.sd1R.w1R*M.sd1R*Molweight</f>
        <v>3.3927823356139362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4.9179403620094491E-6</v>
      </c>
      <c r="E17" s="318">
        <f>(1-FRw.w0C)*E15</f>
        <v>6434.2634136762426</v>
      </c>
      <c r="F17" s="122">
        <f>E17/$E$51</f>
        <v>2.0527822349317826E-6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1.4758128683945359E-2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5.4874854209928103E-25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1.9985518918458436E-3</v>
      </c>
      <c r="AG17" s="326">
        <f>KDEG.sd2R*M.sd2R*Molweight</f>
        <v>8.8868352010624512E-15</v>
      </c>
      <c r="AH17" s="325"/>
      <c r="AI17" s="325"/>
      <c r="AJ17" s="325"/>
      <c r="AK17" s="325"/>
      <c r="AL17" s="631"/>
      <c r="AM17" s="325">
        <f>k.w2R.sd2R*M.w2R*Molweight</f>
        <v>2.2709219741980469E-2</v>
      </c>
      <c r="AN17" s="326">
        <f>k.sd2R.w2R*M.sd2R*Molweight</f>
        <v>2.0710667850125736E-2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1.9515989607352962E-4</v>
      </c>
      <c r="AG18" s="326">
        <f>KDEG.s1R*M.s1R*Molweight</f>
        <v>1.2512745454412733E-12</v>
      </c>
      <c r="AH18" s="325"/>
      <c r="AI18" s="325"/>
      <c r="AJ18" s="325">
        <f>k.aR.s1R*M.aR*Molweight</f>
        <v>3.6608411675547188E-2</v>
      </c>
      <c r="AK18" s="325">
        <f>k.s1R.aR*M.s1R*Molweight</f>
        <v>2.0886302174562791E-17</v>
      </c>
      <c r="AL18" s="631">
        <f>(k.s1R.w1R+k.s1R.w0R)*M.s1R*Molweight</f>
        <v>3.6413251778222362E-2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5516767.3012377312</v>
      </c>
      <c r="D19" s="122">
        <f>C19/$C$51</f>
        <v>6.9464678848635297E-4</v>
      </c>
      <c r="E19" s="318">
        <f>M.w1C*Molweight</f>
        <v>535050.52986845421</v>
      </c>
      <c r="F19" s="122">
        <f>E19/$E$51</f>
        <v>1.7070209158211283E-4</v>
      </c>
      <c r="G19" s="318"/>
      <c r="H19" s="122"/>
      <c r="I19" s="318"/>
      <c r="J19" s="122"/>
      <c r="K19" s="318"/>
      <c r="L19" s="123"/>
      <c r="M19" s="320">
        <f>C.w1R*Molweight</f>
        <v>2.9255767021774278E-4</v>
      </c>
      <c r="N19" s="320">
        <f>C.w1C*Molweight</f>
        <v>1.8605159640438101E-6</v>
      </c>
      <c r="O19" s="320"/>
      <c r="P19" s="320"/>
      <c r="Q19" s="320"/>
      <c r="R19" s="120" t="s">
        <v>1489</v>
      </c>
      <c r="S19" s="325">
        <f>F.w1R</f>
        <v>2.1743702104539364E-20</v>
      </c>
      <c r="T19" s="325">
        <f>F.w1C</f>
        <v>1.3827873613021074E-22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8.1352025945660392E-2</v>
      </c>
      <c r="AK19" s="325">
        <f>k.s2R.aR*M.s2R*Molweight</f>
        <v>2.2732879105723356E-16</v>
      </c>
      <c r="AL19" s="631">
        <f>(k.s2R.w1R+k.s2R.w0R)*M.s2R*Molweight</f>
        <v>0.39632580415729945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5131869.6849724511</v>
      </c>
      <c r="D20" s="122">
        <f>C20/$C$51</f>
        <v>6.4618219347348314E-4</v>
      </c>
      <c r="E20" s="318">
        <f>FRw.w1C*E19</f>
        <v>497720.75641913025</v>
      </c>
      <c r="F20" s="122">
        <f>E20/$E$51</f>
        <v>1.5879243062419791E-4</v>
      </c>
      <c r="G20" s="318"/>
      <c r="H20" s="122"/>
      <c r="I20" s="318"/>
      <c r="J20" s="122"/>
      <c r="K20" s="318"/>
      <c r="L20" s="123"/>
      <c r="M20" s="320">
        <f>M19*FRw.w1R</f>
        <v>2.7214630542052374E-4</v>
      </c>
      <c r="N20" s="320">
        <f>N19*FRw.w1C</f>
        <v>1.7307102063452216E-6</v>
      </c>
      <c r="O20" s="320"/>
      <c r="P20" s="320"/>
      <c r="Q20" s="320"/>
      <c r="R20" s="120" t="s">
        <v>1489</v>
      </c>
      <c r="S20" s="325">
        <f>S19*FRw.w1R</f>
        <v>2.0226672537796196E-20</v>
      </c>
      <c r="T20" s="325">
        <f>T19*FRw.w1C</f>
        <v>1.2863121014071455E-22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7.2281442990196142E-5</v>
      </c>
      <c r="AG20" s="326">
        <f>KDEG.s3R*M.s3R*Molweight</f>
        <v>4.6343501683010112E-13</v>
      </c>
      <c r="AH20" s="325"/>
      <c r="AI20" s="325"/>
      <c r="AJ20" s="325">
        <f>k.aR.s3R*M.aR*Molweight</f>
        <v>1.35586709909434E-2</v>
      </c>
      <c r="AK20" s="325">
        <f>k.s3R.aR*M.s3R*Molweight</f>
        <v>7.7356674720602901E-18</v>
      </c>
      <c r="AL20" s="631">
        <f>(k.s3R.w1R+k.s3R.w0R)*M.s3R*Molweight</f>
        <v>1.3486389547489758E-2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2.0886302174562791E-17</v>
      </c>
      <c r="BE20" s="2"/>
      <c r="BF20" s="296">
        <f>IF(output!AK20&lt;0,"",output!AK20)</f>
        <v>7.7356674720602901E-18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384897.61626527976</v>
      </c>
      <c r="D21" s="122">
        <f>C21/$C$51</f>
        <v>4.8464595012869781E-5</v>
      </c>
      <c r="E21" s="318">
        <f>(1-FRw.w1C)*E19</f>
        <v>37329.77344932397</v>
      </c>
      <c r="F21" s="122">
        <f>E21/$E$51</f>
        <v>1.190966095791493E-5</v>
      </c>
      <c r="G21" s="318"/>
      <c r="H21" s="122"/>
      <c r="I21" s="318"/>
      <c r="J21" s="122"/>
      <c r="K21" s="318"/>
      <c r="L21" s="123"/>
      <c r="M21" s="320">
        <f>M20*Kp.susp1R</f>
        <v>1.3607315271026188</v>
      </c>
      <c r="N21" s="320">
        <f>N20*Kp.susp1C</f>
        <v>8.6535510317261085E-3</v>
      </c>
      <c r="O21" s="320"/>
      <c r="P21" s="320"/>
      <c r="Q21" s="320"/>
      <c r="R21" s="120" t="s">
        <v>1494</v>
      </c>
      <c r="S21" s="325">
        <f>S19*(1-FRw.w1R)</f>
        <v>1.5170295667431675E-21</v>
      </c>
      <c r="T21" s="325">
        <f>T19*(1-FRw.w1C)</f>
        <v>9.6475259894961828E-24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5.4788755116597729E-19</v>
      </c>
      <c r="AV21" s="75"/>
      <c r="AW21" s="75"/>
      <c r="AX21" s="288">
        <f>IF(output!AI14&lt;0,"",output!AI14)</f>
        <v>3.09913767253953E-17</v>
      </c>
      <c r="AY21" s="75"/>
      <c r="AZ21" s="75"/>
      <c r="BA21" s="296">
        <f>IF(output!AI13&lt;0,"",output!AI13)</f>
        <v>2.8287873773005835E-18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0.18723207404827041</v>
      </c>
      <c r="AE22" s="325">
        <f>(k.aC.aM+k.aC.aR)*M.aC*Molweight</f>
        <v>3.3224530195435711E-2</v>
      </c>
      <c r="AF22" s="325">
        <f>kesc.aC*M.aC*Molweight</f>
        <v>7.2352747782279855E-6</v>
      </c>
      <c r="AG22" s="326">
        <f>KDEG.aC*M.aC*Molweight</f>
        <v>1.9475442662651513E-26</v>
      </c>
      <c r="AH22" s="325">
        <f>SUM(AH23:AH25)</f>
        <v>8.1671132265277488E-2</v>
      </c>
      <c r="AI22" s="325">
        <f>SUM(AI23:AI25)</f>
        <v>1.3798830871534439E-16</v>
      </c>
      <c r="AJ22" s="325">
        <f>SUM(AJ28:AJ30)</f>
        <v>7.2329176312779186E-2</v>
      </c>
      <c r="AK22" s="325">
        <f>SUM(AK28:AK30)</f>
        <v>4.1266172535880878E-17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3.6608411675547188E-2</v>
      </c>
      <c r="BE22" s="2"/>
      <c r="BF22" s="296">
        <f>IF(output!AJ20&lt;0,"",output!AJ20)</f>
        <v>1.35586709909434E-2</v>
      </c>
      <c r="BG22" s="75"/>
      <c r="BH22" s="296">
        <f>IF(output!AJ19&lt;0,"",output!AJ19)</f>
        <v>8.1352025945660392E-2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126715278.6591111</v>
      </c>
      <c r="D23" s="122">
        <f>C23/$C$51</f>
        <v>1.5955423994946514E-2</v>
      </c>
      <c r="E23" s="318">
        <f>M.sd1C*Molweight</f>
        <v>12289638.71174608</v>
      </c>
      <c r="F23" s="122">
        <f>E23/$E$51</f>
        <v>3.9208764701145768E-3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0.51690704804304655</v>
      </c>
      <c r="N23" s="320">
        <f>C.sd1C*(Molweight*1000)/(FRACw.sdC*1000+FRACs.sdC*RHOsolid)</f>
        <v>3.2872623510266218E-3</v>
      </c>
      <c r="O23" s="320"/>
      <c r="P23" s="320"/>
      <c r="Q23" s="320"/>
      <c r="R23" s="120" t="s">
        <v>1495</v>
      </c>
      <c r="S23" s="325">
        <f>F.sd1R</f>
        <v>3.9929137957853205E-20</v>
      </c>
      <c r="T23" s="325">
        <f>F.sd1C</f>
        <v>2.5392873325044714E-22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6.1817144506750576E-3</v>
      </c>
      <c r="AF23" s="330"/>
      <c r="AG23" s="326">
        <f>KDEG.w0C*M.w0C*Molweight</f>
        <v>1.0446474583731764E-14</v>
      </c>
      <c r="AH23" s="325">
        <f>k.aC.w0C*M.aC*Molweight</f>
        <v>1.8641540287767154E-4</v>
      </c>
      <c r="AI23" s="325">
        <f>k.w0C.aC*M.w0C*Molweight</f>
        <v>4.6601001547417245E-19</v>
      </c>
      <c r="AJ23" s="325"/>
      <c r="AK23" s="325"/>
      <c r="AL23" s="631">
        <f>SUM(AL28:AL30)*AREAFRAC.w0C/(AREAFRAC.w1C+AREAFRAC.w0C)</f>
        <v>5.9952990478078314E-3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5.9319556336104046E-4</v>
      </c>
      <c r="AV23" s="75"/>
      <c r="AW23" s="75"/>
      <c r="AX23" s="288">
        <f>IF(output!AH14&lt;0,"",output!AH14)</f>
        <v>3.7286345227294047E-3</v>
      </c>
      <c r="AY23" s="291">
        <f>output!AL14</f>
        <v>0.40903999169276062</v>
      </c>
      <c r="AZ23" s="87"/>
      <c r="BA23" s="296">
        <f>IF(output!AH13&lt;0,"",output!AH13)</f>
        <v>3.3896677479358216E-4</v>
      </c>
      <c r="BB23" s="291">
        <f>output!AL13</f>
        <v>3.7185453790250962E-2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101372222.92728889</v>
      </c>
      <c r="D24" s="122">
        <f>C24/$C$51</f>
        <v>1.2764339195957214E-2</v>
      </c>
      <c r="E24" s="318">
        <f>E23*FRACw.sdC</f>
        <v>9831710.969396865</v>
      </c>
      <c r="F24" s="122">
        <f>E24/$E$51</f>
        <v>3.1367011760916616E-3</v>
      </c>
      <c r="G24" s="318"/>
      <c r="H24" s="122"/>
      <c r="I24" s="318"/>
      <c r="J24" s="122"/>
      <c r="K24" s="318"/>
      <c r="L24" s="123"/>
      <c r="M24" s="320">
        <f>M25/Kp.sd1R</f>
        <v>5.37239496686889E-4</v>
      </c>
      <c r="N24" s="320">
        <f>N25/Kp.sd1C</f>
        <v>3.4165662426723766E-6</v>
      </c>
      <c r="O24" s="320"/>
      <c r="P24" s="320"/>
      <c r="Q24" s="320"/>
      <c r="R24" s="120" t="s">
        <v>1489</v>
      </c>
      <c r="S24" s="325">
        <f>S23*FRACw.sdR</f>
        <v>3.1943310366282567E-20</v>
      </c>
      <c r="T24" s="325">
        <f>T23*FRACw.sdC</f>
        <v>2.0314298660035771E-22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6.1817144506750576E-3</v>
      </c>
      <c r="AE24" s="325">
        <f>(k.w1C.w0C+k.w1C.w1R+k.w1C.w2C)*M.w1C*Molweight</f>
        <v>3.8868344843079904E-2</v>
      </c>
      <c r="AF24" s="330"/>
      <c r="AG24" s="326">
        <f>KDEG.w1C*M.w1C*Molweight</f>
        <v>2.0213743855883837E-15</v>
      </c>
      <c r="AH24" s="325">
        <f>k.aC.w1C*M.aC*Molweight</f>
        <v>2.0505694316543866E-3</v>
      </c>
      <c r="AI24" s="325">
        <f>k.w1C.aC*M.w1C*Molweight</f>
        <v>3.0057371704902868E-18</v>
      </c>
      <c r="AJ24" s="518"/>
      <c r="AK24" s="518"/>
      <c r="AL24" s="631">
        <f>SUM(AL28:AL30)*AREAFRAC.w1C/(AREAFRAC.w1C+AREAFRAC.w0C)</f>
        <v>6.5948289525886133E-2</v>
      </c>
      <c r="AM24" s="325">
        <f>k.w1C.sd1C*M.w1C*Molweight</f>
        <v>0.36461123081428837</v>
      </c>
      <c r="AN24" s="326">
        <f>k.sd1C.w1C*M.sd1C*Molweight</f>
        <v>0.32929900224915459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3.7524420564981127E-2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25343055.731822215</v>
      </c>
      <c r="D25" s="122">
        <f>C25/$C$51</f>
        <v>3.1910847989893025E-3</v>
      </c>
      <c r="E25" s="318">
        <f>E23*FRACs.sdC</f>
        <v>2457927.7423492153</v>
      </c>
      <c r="F25" s="122">
        <f>E25/$E$51</f>
        <v>7.8417529402291508E-4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1.3430987417172224</v>
      </c>
      <c r="N25" s="320">
        <f>C.sd1C*FRACs.sdC/(FRACw.sdC/(Kp.sd1C*RHOsolid/1000)+FRACs.sdC)*(Molweight*1000)/(FRACs.sdC*RHOsolid)</f>
        <v>8.5414156066809417E-3</v>
      </c>
      <c r="O25" s="320"/>
      <c r="P25" s="320"/>
      <c r="Q25" s="320"/>
      <c r="R25" s="120" t="s">
        <v>1494</v>
      </c>
      <c r="S25" s="325">
        <f>S23*(1-FRACw.sdR)</f>
        <v>7.9858275915706388E-21</v>
      </c>
      <c r="T25" s="325">
        <f>T23*(1-FRACw.sdC)</f>
        <v>5.0785746650089416E-23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48.673974174687828</v>
      </c>
      <c r="AE25" s="325">
        <f>(k.w2C.w2M+k.w2C.w2R)*M.w2C*Molweight</f>
        <v>48.262726743459744</v>
      </c>
      <c r="AF25" s="330"/>
      <c r="AG25" s="326">
        <f>KDEG.w2C*M.w2C*Molweight</f>
        <v>6.0308739917438073E-12</v>
      </c>
      <c r="AH25" s="325">
        <f>k.aC.w2C*M.aC*Molweight</f>
        <v>7.9434147430745436E-2</v>
      </c>
      <c r="AI25" s="325">
        <f>k.w2C.aC*M.w2C*Molweight</f>
        <v>1.3451656152937994E-16</v>
      </c>
      <c r="AJ25" s="325"/>
      <c r="AK25" s="325"/>
      <c r="AL25" s="631"/>
      <c r="AM25" s="325">
        <f>k.w2C.sd2C*M.w2C*Molweight</f>
        <v>5.5755348852248581</v>
      </c>
      <c r="AN25" s="326">
        <f>k.sd2C.w2C*M.sd2C*Molweight</f>
        <v>5.0848533065720636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0.40076142703055329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3.5312228565083724E-2</v>
      </c>
      <c r="AG26" s="326">
        <f>KDEG.sd1C*M.sd1C*Molweight</f>
        <v>4.9911442469840561E-14</v>
      </c>
      <c r="AH26" s="325"/>
      <c r="AI26" s="325"/>
      <c r="AJ26" s="325"/>
      <c r="AK26" s="325"/>
      <c r="AL26" s="631"/>
      <c r="AM26" s="325">
        <f>k.w1C.sd1C*M.w1C*Molweight</f>
        <v>0.36461123081428837</v>
      </c>
      <c r="AN26" s="326">
        <f>k.sd1C.w1C*M.sd1C*Molweight</f>
        <v>0.32929900224915459</v>
      </c>
      <c r="AO26" s="329">
        <f>SUM(AC26,AD26,AM26)-SUM(AE26,AF26,AG26,AN26)</f>
        <v>0</v>
      </c>
      <c r="AP26" s="29"/>
      <c r="AQ26" s="438"/>
      <c r="AR26" s="2"/>
      <c r="AS26" s="313">
        <f>output!AE15</f>
        <v>0.42462330811627519</v>
      </c>
      <c r="AT26" s="75"/>
      <c r="AU26" s="285">
        <f>output!AD15</f>
        <v>0.42602866444477006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309976.95228083304</v>
      </c>
      <c r="D27" s="122">
        <f>C27/$C$51</f>
        <v>3.9030918407299576E-5</v>
      </c>
      <c r="E27" s="318">
        <f>M.w2C*Molweight</f>
        <v>1522101886.9816461</v>
      </c>
      <c r="F27" s="122">
        <f>E27/$E$51</f>
        <v>0.48561016428247944</v>
      </c>
      <c r="G27" s="318">
        <f>M.w2M*Molweight</f>
        <v>7944531283.8931341</v>
      </c>
      <c r="H27" s="122">
        <f>G27/$G$51</f>
        <v>3.1527548441551326E-2</v>
      </c>
      <c r="I27" s="318">
        <f>M.w2A*Molweight</f>
        <v>6364184167.52034</v>
      </c>
      <c r="J27" s="122">
        <f>I27/$I$51</f>
        <v>3.8165643851708744E-2</v>
      </c>
      <c r="K27" s="318">
        <f>M.w2T*Molweight</f>
        <v>18279441401.08696</v>
      </c>
      <c r="L27" s="123">
        <f>K27/$K$51</f>
        <v>2.9431642846084245E-2</v>
      </c>
      <c r="M27" s="320">
        <f>C.w2R*Molweight</f>
        <v>3.0997695228083268E-5</v>
      </c>
      <c r="N27" s="320">
        <f>C.w2C*Molweight</f>
        <v>2.0494665105410468E-6</v>
      </c>
      <c r="O27" s="320">
        <f>C.w2M*Molweight</f>
        <v>2.0483203385311746E-6</v>
      </c>
      <c r="P27" s="320">
        <f>C.w2A*Molweight</f>
        <v>2.4957584970668E-6</v>
      </c>
      <c r="Q27" s="320">
        <f>C.w2T*Molweight</f>
        <v>2.0481166835951778E-6</v>
      </c>
      <c r="R27" s="120" t="s">
        <v>1489</v>
      </c>
      <c r="S27" s="325">
        <f>F.w2R</f>
        <v>2.3038351736432016E-21</v>
      </c>
      <c r="T27" s="325">
        <f>F.w2C</f>
        <v>1.5232206780040077E-22</v>
      </c>
      <c r="U27" s="325">
        <f>F.w2M</f>
        <v>1.5223688109951995E-22</v>
      </c>
      <c r="V27" s="325">
        <f>F.w2A</f>
        <v>2.6890699889637326E-23</v>
      </c>
      <c r="W27" s="326">
        <f>F.w2T</f>
        <v>4.1675070203747299E-22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0.49068157865061279</v>
      </c>
      <c r="AG27" s="326">
        <f>KDEG.sd2C*M.sd2C*Molweight</f>
        <v>2.1818829640884357E-12</v>
      </c>
      <c r="AH27" s="325"/>
      <c r="AI27" s="325"/>
      <c r="AJ27" s="325"/>
      <c r="AK27" s="325"/>
      <c r="AL27" s="631"/>
      <c r="AM27" s="325">
        <f>k.w2C.sd2C*M.w2C*Molweight</f>
        <v>5.5755348852248581</v>
      </c>
      <c r="AN27" s="326">
        <f>k.sd2C.w2C*M.sd2C*Molweight</f>
        <v>5.0848533065720636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1.9709616439925796E-3</v>
      </c>
      <c r="BC27" s="86"/>
      <c r="BD27" s="295">
        <f>output!AG18</f>
        <v>1.2512745454412733E-12</v>
      </c>
      <c r="BE27" s="75"/>
      <c r="BF27" s="295">
        <f>output!AG19</f>
        <v>2.9928319793630438E-11</v>
      </c>
      <c r="BG27" s="75"/>
      <c r="BH27" s="256">
        <f>output!AG20</f>
        <v>4.6343501683010112E-13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302416.11395280878</v>
      </c>
      <c r="D28" s="122">
        <f>C28/$C$51</f>
        <v>3.8078891291410851E-5</v>
      </c>
      <c r="E28" s="318">
        <f>FRw.w2C*E27</f>
        <v>1484975364.5045087</v>
      </c>
      <c r="F28" s="122">
        <f>E28/$E$51</f>
        <v>0.47376534835158818</v>
      </c>
      <c r="G28" s="318">
        <f>FRw.w2M*G27</f>
        <v>7750751339.3280067</v>
      </c>
      <c r="H28" s="122">
        <f>G28/$G$51</f>
        <v>3.0758540633417389E-2</v>
      </c>
      <c r="I28" s="318">
        <f>FRw.w2A*I27</f>
        <v>6208951440.6148949</v>
      </c>
      <c r="J28" s="122">
        <f>I28/$I$51</f>
        <v>3.7234722179228116E-2</v>
      </c>
      <c r="K28" s="318">
        <f>FRw.w2T*K27</f>
        <v>17833576312.914219</v>
      </c>
      <c r="L28" s="123">
        <f>K28/$K$51</f>
        <v>2.8713757559291089E-2</v>
      </c>
      <c r="M28" s="320">
        <f>M27*FRw.w2R</f>
        <v>3.0241611395280846E-5</v>
      </c>
      <c r="N28" s="320">
        <f>N27*FRw.w2C</f>
        <v>1.9994767134581269E-6</v>
      </c>
      <c r="O28" s="320">
        <f>O27*FRw.w2M</f>
        <v>1.9983584984340851E-6</v>
      </c>
      <c r="P28" s="320">
        <f>P27*FRw.w2A</f>
        <v>2.434882917888194E-6</v>
      </c>
      <c r="Q28" s="320">
        <f>Q27*FRw.w2T</f>
        <v>1.998159810970781E-6</v>
      </c>
      <c r="R28" s="120" t="s">
        <v>1489</v>
      </c>
      <c r="S28" s="325">
        <f>S27*FRw.w2R</f>
        <v>2.2476409141856446E-21</v>
      </c>
      <c r="T28" s="325">
        <f>T27*FRw.w2C</f>
        <v>1.486066866407532E-22</v>
      </c>
      <c r="U28" s="325">
        <f>U27*FRw.w2M</f>
        <v>1.4852357778104194E-22</v>
      </c>
      <c r="V28" s="325">
        <f>V27*FRw.w2A</f>
        <v>2.6234792303937965E-23</v>
      </c>
      <c r="W28" s="326">
        <f>W27*FRw.w2T</f>
        <v>4.0658547956525122E-22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1.0732854473575585E-4</v>
      </c>
      <c r="AG28" s="326">
        <f>KDEG.s1C*M.s1C*Molweight</f>
        <v>6.8814074371359341E-13</v>
      </c>
      <c r="AH28" s="325"/>
      <c r="AI28" s="325"/>
      <c r="AJ28" s="325">
        <f>k.aC.s1C*M.aC*Molweight</f>
        <v>2.0132863509742662E-2</v>
      </c>
      <c r="AK28" s="325">
        <f>k.s1C.aC*M.s1C*Molweight</f>
        <v>1.1486460396876223E-17</v>
      </c>
      <c r="AL28" s="631">
        <f>(k.s1C.w1C+k.s1C.w0C)*M.s1C*Molweight</f>
        <v>2.0025534964318744E-2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7560.8383280242442</v>
      </c>
      <c r="D29" s="122">
        <f>C29/$C$51</f>
        <v>9.5202711588872237E-7</v>
      </c>
      <c r="E29" s="318">
        <f>(1-FRw.w2C)*E27</f>
        <v>37126522.477137275</v>
      </c>
      <c r="F29" s="122">
        <f>E29/$E$51</f>
        <v>1.1844815930891225E-2</v>
      </c>
      <c r="G29" s="318">
        <f>(1-FRw.w2M)*G27</f>
        <v>193779944.56512707</v>
      </c>
      <c r="H29" s="122">
        <f>G29/$G$51</f>
        <v>7.6900780813393991E-4</v>
      </c>
      <c r="I29" s="318">
        <f>(1-FRw.w2A)*I27</f>
        <v>155232726.90544546</v>
      </c>
      <c r="J29" s="122">
        <f>I29/$I$51</f>
        <v>9.3092167248063251E-4</v>
      </c>
      <c r="K29" s="318">
        <f>(1-FRw.w2T)*K27</f>
        <v>445865088.17274201</v>
      </c>
      <c r="L29" s="123">
        <f>K29/$K$51</f>
        <v>7.1788528679315609E-4</v>
      </c>
      <c r="M29" s="320">
        <f>M28*Kp.susp2R</f>
        <v>0.15120805697640424</v>
      </c>
      <c r="N29" s="320">
        <f>N28*Kp.susp2C</f>
        <v>9.9973835672906349E-3</v>
      </c>
      <c r="O29" s="320">
        <f>O28*Kp.susp2M</f>
        <v>9.9917924921704253E-3</v>
      </c>
      <c r="P29" s="320">
        <f>P28*Kp.susp2A</f>
        <v>1.217441458944097E-2</v>
      </c>
      <c r="Q29" s="320">
        <f>Q28*Kp.susp2T</f>
        <v>9.9907990548539043E-3</v>
      </c>
      <c r="R29" s="120" t="s">
        <v>1494</v>
      </c>
      <c r="S29" s="325">
        <f>S27*(1-FRw.w2R)</f>
        <v>5.6194259457557037E-23</v>
      </c>
      <c r="T29" s="325">
        <f>T27*(1-FRw.w2C)</f>
        <v>3.7153811596475597E-24</v>
      </c>
      <c r="U29" s="325">
        <f>U27*(1-FRw.w2M)</f>
        <v>3.7133033184780192E-24</v>
      </c>
      <c r="V29" s="325">
        <f>V27*(1-FRw.w2A)</f>
        <v>6.5590758569936089E-25</v>
      </c>
      <c r="W29" s="326">
        <f>W27*(1-FRw.w2T)</f>
        <v>1.0165222472221763E-23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2.3850787718080596E-4</v>
      </c>
      <c r="AG29" s="326">
        <f>KDEG.s2C*M.s2C*Molweight</f>
        <v>3.360482198901277E-12</v>
      </c>
      <c r="AH29" s="325"/>
      <c r="AI29" s="325"/>
      <c r="AJ29" s="325">
        <f>k.aC.s2C*M.aC*Molweight</f>
        <v>4.4739696688317024E-2</v>
      </c>
      <c r="AK29" s="325">
        <f>k.s2C.aC*M.s2C*Molweight</f>
        <v>2.552546754756902E-17</v>
      </c>
      <c r="AL29" s="631">
        <f>(k.s2C.w1C+k.s2C.w0C)*M.s2C*Molweight</f>
        <v>4.4501188807775691E-2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3.9751312865094766E-5</v>
      </c>
      <c r="AG30" s="326">
        <f>KDEG.s3C*M.s3C*Molweight</f>
        <v>2.5486694211614568E-13</v>
      </c>
      <c r="AH30" s="325"/>
      <c r="AI30" s="325"/>
      <c r="AJ30" s="325">
        <f>k.aC.s3C*M.aC*Molweight</f>
        <v>7.4566161147195031E-3</v>
      </c>
      <c r="AK30" s="325">
        <f>k.s3C.aC*M.s3C*Molweight</f>
        <v>4.2542445914356379E-18</v>
      </c>
      <c r="AL30" s="631">
        <f>(k.s3C.w1C+k.s3C.w0C)*M.s3C*Molweight</f>
        <v>7.4168648015995346E-3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6.9464678848635297E-4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238333492176.45178</v>
      </c>
      <c r="H31" s="122">
        <f>G31/$G$51</f>
        <v>0.94581674504464741</v>
      </c>
      <c r="I31" s="318">
        <f>M.w3A*Molweight</f>
        <v>156693070332.8327</v>
      </c>
      <c r="J31" s="122">
        <f>I31/$I$51</f>
        <v>0.93967926743448205</v>
      </c>
      <c r="K31" s="318">
        <f>M.w3T*Molweight</f>
        <v>588940751740.8772</v>
      </c>
      <c r="L31" s="123">
        <f>K31/$K$51</f>
        <v>0.94825074149755773</v>
      </c>
      <c r="M31" s="320"/>
      <c r="N31" s="320"/>
      <c r="O31" s="320">
        <f>C.w3M*Molweight</f>
        <v>2.0482993140532502E-6</v>
      </c>
      <c r="P31" s="320">
        <f>C.w3A*Molweight</f>
        <v>2.0482754291873553E-6</v>
      </c>
      <c r="Q31" s="320">
        <f>C.w3T*Molweight</f>
        <v>2.1995919766232576E-6</v>
      </c>
      <c r="R31" s="120" t="s">
        <v>1489</v>
      </c>
      <c r="S31" s="325"/>
      <c r="T31" s="325"/>
      <c r="U31" s="325">
        <f>F.w3M</f>
        <v>1.5223531850167538E-22</v>
      </c>
      <c r="V31" s="325">
        <f>F.w3A</f>
        <v>2.2069266686792346E-23</v>
      </c>
      <c r="W31" s="326">
        <f>F.w3T</f>
        <v>4.4757288869139597E-22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2.0841867247033967E-14</v>
      </c>
      <c r="AY31" s="75"/>
      <c r="AZ31" s="75"/>
      <c r="BA31" s="87"/>
      <c r="BB31" s="2"/>
      <c r="BC31" s="86"/>
      <c r="BD31" s="277">
        <f>IF(ISERROR(output!D39),0,output!D39)</f>
        <v>3.8794572522087421E-2</v>
      </c>
      <c r="BE31" s="75"/>
      <c r="BF31" s="277">
        <f>IF(ISERROR(output!D43),0,output!D43)</f>
        <v>0.92789897862803816</v>
      </c>
      <c r="BG31" s="75"/>
      <c r="BH31" s="273">
        <f>IF(ISERROR(output!D47),0,output!D47)</f>
        <v>1.4368360193365706E-2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232520153509.68857</v>
      </c>
      <c r="H32" s="122">
        <f>G32/$G$51</f>
        <v>0.92274674759934738</v>
      </c>
      <c r="I32" s="318">
        <f>FRw.w3A*I31</f>
        <v>152871073364.37766</v>
      </c>
      <c r="J32" s="122">
        <f>I32/$I$51</f>
        <v>0.91675897297713294</v>
      </c>
      <c r="K32" s="318">
        <f>FRw.w3T*K31</f>
        <v>574575535953.27368</v>
      </c>
      <c r="L32" s="123">
        <f>K32/$K$51</f>
        <v>0.92512137494905167</v>
      </c>
      <c r="M32" s="320"/>
      <c r="N32" s="320"/>
      <c r="O32" s="320">
        <f>O31*FRw.w3M</f>
        <v>1.9983379867771217E-6</v>
      </c>
      <c r="P32" s="320">
        <f>P31*FRw.w3A</f>
        <v>1.9983146845016683E-6</v>
      </c>
      <c r="Q32" s="320">
        <f>Q31*FRw.w3T</f>
        <v>2.1459403770430393E-6</v>
      </c>
      <c r="R32" s="120" t="s">
        <v>1489</v>
      </c>
      <c r="S32" s="325"/>
      <c r="T32" s="325"/>
      <c r="U32" s="325">
        <f>U31*FRw.w3M</f>
        <v>1.4852205329748161E-22</v>
      </c>
      <c r="V32" s="325">
        <f>V31*FRw.w3A</f>
        <v>2.1530961641178133E-23</v>
      </c>
      <c r="W32" s="326">
        <f>W31*FRw.w3T</f>
        <v>4.3665586332385646E-22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2.7476563352276755E-2</v>
      </c>
      <c r="AE32" s="325">
        <f>(k.aM.aA+k.aM.aC+k.aM.aT)*M.aM*Molweight</f>
        <v>3.526615090956556E-3</v>
      </c>
      <c r="AF32" s="325">
        <f>kesc.aM*M.aM*Molweight</f>
        <v>1.1093274801834492E-6</v>
      </c>
      <c r="AG32" s="326">
        <f>KDEG.aM*M.aM*Molweight</f>
        <v>2.986015652014769E-27</v>
      </c>
      <c r="AH32" s="325">
        <f>AH33</f>
        <v>1.1974419467227358E-2</v>
      </c>
      <c r="AI32" s="325">
        <f>AI33</f>
        <v>1.404204331407916E-15</v>
      </c>
      <c r="AJ32" s="325">
        <f>AJ36</f>
        <v>1.1974419466614065E-2</v>
      </c>
      <c r="AK32" s="325">
        <f>AK36</f>
        <v>6.8317999032917622E-18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3.3927823356139362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5813338666.763216</v>
      </c>
      <c r="H33" s="122">
        <f>G33/$G$51</f>
        <v>2.3069997445300021E-2</v>
      </c>
      <c r="I33" s="318">
        <f>(1-FRw.w3A)*I31</f>
        <v>3821996968.4550514</v>
      </c>
      <c r="J33" s="122">
        <f>I33/$I$51</f>
        <v>2.2920294457349201E-2</v>
      </c>
      <c r="K33" s="318">
        <f>(1-FRw.w3T)*K31</f>
        <v>14365215787.603487</v>
      </c>
      <c r="L33" s="123">
        <f>K33/$K$51</f>
        <v>2.3129366548506013E-2</v>
      </c>
      <c r="M33" s="320"/>
      <c r="N33" s="320"/>
      <c r="O33" s="320">
        <f>O32*Kp.susp3M</f>
        <v>9.9916899338856092E-3</v>
      </c>
      <c r="P33" s="320">
        <f>P32*Kp.susp3A</f>
        <v>9.9915734225083409E-3</v>
      </c>
      <c r="Q33" s="320">
        <f>Q32*Kp.susp3T</f>
        <v>1.0729701885215197E-2</v>
      </c>
      <c r="R33" s="120" t="s">
        <v>1494</v>
      </c>
      <c r="S33" s="325"/>
      <c r="T33" s="325"/>
      <c r="U33" s="325">
        <f>U31*(1-FRw.w3M)</f>
        <v>3.7132652041937555E-24</v>
      </c>
      <c r="V33" s="325">
        <f>V31*(1-FRw.w3A)</f>
        <v>5.3830504561421184E-25</v>
      </c>
      <c r="W33" s="326">
        <f>W31*(1-FRw.w3T)</f>
        <v>1.0917025367539499E-23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2334.5116729611923</v>
      </c>
      <c r="AE33" s="325">
        <f>(k.w2M.w2C+k.w2M.w2A+k.w2M.w2T+k.w2M.w3M)*M.w2M*Molweight</f>
        <v>2334.535557964316</v>
      </c>
      <c r="AF33" s="330"/>
      <c r="AG33" s="326">
        <f>KDEG.w2M*M.w2M*Molweight</f>
        <v>3.1477831744652375E-11</v>
      </c>
      <c r="AH33" s="325">
        <f>k.aM.w2M*M.aM*Molweight</f>
        <v>1.1974419467227358E-2</v>
      </c>
      <c r="AI33" s="325">
        <f>k.w2M.aM*M.w2M*Molweight</f>
        <v>1.404204331407916E-15</v>
      </c>
      <c r="AJ33" s="325"/>
      <c r="AK33" s="325"/>
      <c r="AL33" s="325">
        <f>AL36</f>
        <v>1.1910583687713286E-2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1.2281910662745467E-15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2286.3183390410145</v>
      </c>
      <c r="AE34" s="325">
        <f>(k.w3M.w2M+k.w3M.w3A+k.w3M.w3T)*M.w3M*Molweight</f>
        <v>2286.3016080238576</v>
      </c>
      <c r="AF34" s="330"/>
      <c r="AG34" s="326">
        <f>KDEG.w3M*M.w3M*Molweight</f>
        <v>9.4432525944682127E-10</v>
      </c>
      <c r="AH34" s="325"/>
      <c r="AI34" s="325"/>
      <c r="AJ34" s="325"/>
      <c r="AK34" s="325"/>
      <c r="AL34" s="325"/>
      <c r="AM34" s="325">
        <f>k.w3M.sdM*M.w3M*Molweight</f>
        <v>58.201828726125498</v>
      </c>
      <c r="AN34" s="326">
        <f>k.sdM.w3M*M.sdM*Molweight</f>
        <v>58.185097709913258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3.7594118752014771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2188195.5020209965</v>
      </c>
      <c r="D35" s="122">
        <f>C35/$C$51</f>
        <v>2.755278399576757E-4</v>
      </c>
      <c r="E35" s="318">
        <f>M.sd2C*Molweight</f>
        <v>537242604.36198473</v>
      </c>
      <c r="F35" s="122">
        <f>E35/$E$51</f>
        <v>0.17140144926902412</v>
      </c>
      <c r="G35" s="318">
        <f>M.sdM*Molweight</f>
        <v>5608161851.2181206</v>
      </c>
      <c r="H35" s="122">
        <f>G35/$G$51</f>
        <v>2.2255761619418637E-2</v>
      </c>
      <c r="I35" s="318">
        <f>M.sdA*Molweight</f>
        <v>3687102854.7700005</v>
      </c>
      <c r="J35" s="122">
        <f>I35/$I$51</f>
        <v>2.211134227037918E-2</v>
      </c>
      <c r="K35" s="318">
        <f>M.sdT*Molweight</f>
        <v>13858207784.299625</v>
      </c>
      <c r="L35" s="123">
        <f>K35/$K$51</f>
        <v>2.23130353408982E-2</v>
      </c>
      <c r="M35" s="320">
        <f>C.sd2R*(Molweight*1000)/(FRACw.sdR*1000+FRACs.sdR*RHOsolid)</f>
        <v>5.610757697489728E-2</v>
      </c>
      <c r="N35" s="320">
        <f>C.sd2C*(Molweight*1000)/(FRACw.sdC*1000+FRACs.sdC*RHOsolid)</f>
        <v>3.7096499966060965E-3</v>
      </c>
      <c r="O35" s="320">
        <f>C.sdM*(Molweight*1000)/(FRACw.sdM*1000+FRACs.sdM*RHOsolid)</f>
        <v>3.7075373051204232E-3</v>
      </c>
      <c r="P35" s="320">
        <f>C.sdA*(Molweight*1000)/(FRACw.sdA*1000+FRACs.sdA*RHOsolid)</f>
        <v>3.7074940721669187E-3</v>
      </c>
      <c r="Q35" s="320">
        <f>C.sdT*(Molweight*1000)/(FRACw.sdT*1000+FRACs.sdT*RHOsolid)</f>
        <v>3.9813855589455214E-3</v>
      </c>
      <c r="R35" s="120" t="s">
        <v>1495</v>
      </c>
      <c r="S35" s="325">
        <f>F.sd2R</f>
        <v>4.3341006666346977E-21</v>
      </c>
      <c r="T35" s="325">
        <f>F.sd2C</f>
        <v>2.8655660055441772E-22</v>
      </c>
      <c r="U35" s="325">
        <f>F.sdM</f>
        <v>2.863934030315494E-22</v>
      </c>
      <c r="V35" s="325">
        <f>F.sdA</f>
        <v>4.1517910896436576E-23</v>
      </c>
      <c r="W35" s="326">
        <f>F.sdT</f>
        <v>8.4199858454991628E-22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1.6731016189467388E-2</v>
      </c>
      <c r="AG35" s="326">
        <f>KDEG.sdM*M.sdM*Molweight</f>
        <v>2.2776214514027701E-11</v>
      </c>
      <c r="AH35" s="325"/>
      <c r="AI35" s="325"/>
      <c r="AJ35" s="325"/>
      <c r="AK35" s="325"/>
      <c r="AL35" s="325"/>
      <c r="AM35" s="325">
        <f>k.w3M.sdM*M.w3M*Molweight</f>
        <v>58.201828726125498</v>
      </c>
      <c r="AN35" s="326">
        <f>k.sdM.w3M*M.sdM*Molweight</f>
        <v>58.185097709913258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5.1462394372905557E-13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1750556.4016167973</v>
      </c>
      <c r="D36" s="122">
        <f>C36/$C$51</f>
        <v>2.2042227196614056E-4</v>
      </c>
      <c r="E36" s="318">
        <f>E35*FRACw.sdC</f>
        <v>429794083.48958778</v>
      </c>
      <c r="F36" s="122">
        <f>E36/$E$51</f>
        <v>0.1371211594152193</v>
      </c>
      <c r="G36" s="318">
        <f>G35*FRACw.sdM</f>
        <v>4486529480.9744968</v>
      </c>
      <c r="H36" s="122">
        <f>G36/$G$51</f>
        <v>1.7804609295534912E-2</v>
      </c>
      <c r="I36" s="318">
        <f>I35*FRACw.sdA</f>
        <v>2949682283.8160005</v>
      </c>
      <c r="J36" s="122">
        <f>I36/$I$51</f>
        <v>1.7689073816303344E-2</v>
      </c>
      <c r="K36" s="318">
        <f>K35*FRACw.sdT</f>
        <v>11086566227.439701</v>
      </c>
      <c r="L36" s="123">
        <f>K36/$K$51</f>
        <v>1.7850428272718561E-2</v>
      </c>
      <c r="M36" s="320">
        <f>M37/Kp.sd2R</f>
        <v>5.8314558736301961E-5</v>
      </c>
      <c r="N36" s="320">
        <f>N37/Kp.sd2C</f>
        <v>3.8555684326734308E-6</v>
      </c>
      <c r="O36" s="320">
        <f>O37/Kp.sdM</f>
        <v>3.853372638836386E-6</v>
      </c>
      <c r="P36" s="320">
        <f>P37/Kp.sdA</f>
        <v>3.8533277053221902E-6</v>
      </c>
      <c r="Q36" s="320">
        <f>Q37/Kp.sdT</f>
        <v>4.1379926659971052E-6</v>
      </c>
      <c r="R36" s="120" t="s">
        <v>1489</v>
      </c>
      <c r="S36" s="325">
        <f>S35*FRACw.sdR</f>
        <v>3.4672805333077584E-21</v>
      </c>
      <c r="T36" s="325">
        <f>T35*FRACw.sdC</f>
        <v>2.292452804435342E-22</v>
      </c>
      <c r="U36" s="325">
        <f>U35*FRACw.sdM</f>
        <v>2.2911472242523951E-22</v>
      </c>
      <c r="V36" s="325">
        <f>V35*FRACw.sdA</f>
        <v>3.3214328717149261E-23</v>
      </c>
      <c r="W36" s="326">
        <f>W35*FRACw.sdT</f>
        <v>6.7359886763993303E-22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6.3835778491483017E-5</v>
      </c>
      <c r="AG36" s="326">
        <f>KDEG.sM*M.sM*Molweight</f>
        <v>4.0928534151671004E-13</v>
      </c>
      <c r="AH36" s="325"/>
      <c r="AI36" s="325"/>
      <c r="AJ36" s="325">
        <f>k.aM.sM*M.aM*Molweight</f>
        <v>1.1974419466614065E-2</v>
      </c>
      <c r="AK36" s="325">
        <f>k.sM.aM*M.sM*Molweight</f>
        <v>6.8317999032917622E-18</v>
      </c>
      <c r="AL36" s="325">
        <f>k.sM.w2M*M.sM*Molweight</f>
        <v>1.1910583687713286E-2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437639.10040419921</v>
      </c>
      <c r="D37" s="122">
        <f>C37/$C$51</f>
        <v>5.5105567991535128E-5</v>
      </c>
      <c r="E37" s="318">
        <f>E35*FRACs.sdC</f>
        <v>107448520.87239692</v>
      </c>
      <c r="F37" s="122">
        <f>E37/$E$51</f>
        <v>3.4280289853804817E-2</v>
      </c>
      <c r="G37" s="318">
        <f>G35*FRACs.sdM</f>
        <v>1121632370.243624</v>
      </c>
      <c r="H37" s="122">
        <f>G37/$G$51</f>
        <v>4.4511523238837261E-3</v>
      </c>
      <c r="I37" s="318">
        <f>I35*FRACs.sdA</f>
        <v>737420570.95399988</v>
      </c>
      <c r="J37" s="122">
        <f>I37/$I$51</f>
        <v>4.4222684540758343E-3</v>
      </c>
      <c r="K37" s="318">
        <f>K35*FRACs.sdT</f>
        <v>2771641556.8599243</v>
      </c>
      <c r="L37" s="123">
        <f>K37/$K$51</f>
        <v>4.4626070681796385E-3</v>
      </c>
      <c r="M37" s="320">
        <f>C.sd2R*FRACs.sdR/(FRACw.sdR/(Kp.sd2R*RHOsolid/1000)+FRACs.sdR)*(Molweight*1000)/(FRACs.sdR*RHOsolid)</f>
        <v>0.14578639684075489</v>
      </c>
      <c r="N37" s="320">
        <f>C.sd2C*FRACs.sdC/(FRACw.sdC/(Kp.sd2C*RHOsolid/1000)+FRACs.sdC)*(Molweight*1000)/(FRACs.sdC*RHOsolid)</f>
        <v>9.6389210816835765E-3</v>
      </c>
      <c r="O37" s="320">
        <f>C.sdM*FRACs.sdM/(FRACw.sdM/(Kp.sdM*RHOsolid/1000)+FRACs.sdM)*(Molweight*1000)/(FRACs.sdM*RHOsolid)</f>
        <v>9.6334315970909648E-3</v>
      </c>
      <c r="P37" s="320">
        <f>C.sdA*FRACs.sdA/(FRACw.sdA/(Kp.sdA*RHOsolid/1000)+FRACs.sdA)*(Molweight*1000)/(FRACs.sdA*RHOsolid)</f>
        <v>9.6333192633054759E-3</v>
      </c>
      <c r="Q37" s="320">
        <f>C.sdT*FRACs.sdT/(FRACw.sdT/(Kp.sdT*RHOsolid/1000)+FRACs.sdT)*(Molweight*1000)/(FRACs.sdT*RHOsolid)</f>
        <v>1.0344981664992764E-2</v>
      </c>
      <c r="R37" s="120" t="s">
        <v>1494</v>
      </c>
      <c r="S37" s="325">
        <f>S35*(1-FRACw.sdR)</f>
        <v>8.6682013332693942E-22</v>
      </c>
      <c r="T37" s="325">
        <f>T35*(1-FRACw.sdC)</f>
        <v>5.7311320110883527E-23</v>
      </c>
      <c r="U37" s="325">
        <f>U35*(1-FRACw.sdM)</f>
        <v>5.7278680606309866E-23</v>
      </c>
      <c r="V37" s="325">
        <f>V35*(1-FRACw.sdA)</f>
        <v>8.3035821792873137E-24</v>
      </c>
      <c r="W37" s="326">
        <f>W35*(1-FRACw.sdT)</f>
        <v>1.6839971690998321E-22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3.9030918407299576E-5</v>
      </c>
      <c r="AW37" s="75"/>
      <c r="AX37" s="75"/>
      <c r="AY37" s="300">
        <f>IF(ISERROR(output!D23),0,output!D23)</f>
        <v>1.5955423994946514E-2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1.1486858875369736E-3</v>
      </c>
      <c r="AE38" s="325">
        <f>k.aA.aM*M.aA*Molweight</f>
        <v>9.1311400710015957E-5</v>
      </c>
      <c r="AF38" s="325">
        <f>kesc.aA*M.aA*Molweight</f>
        <v>4.8313891869407534E-8</v>
      </c>
      <c r="AG38" s="326">
        <f>KDEG.aA*M.aA*Molweight</f>
        <v>2.6661007520457817E-29</v>
      </c>
      <c r="AH38" s="325">
        <f>AH39</f>
        <v>6.3439570376430177E-4</v>
      </c>
      <c r="AI38" s="325">
        <f>AI39</f>
        <v>1.7671419063996999E-16</v>
      </c>
      <c r="AJ38" s="325">
        <f>AJ42</f>
        <v>4.2293046917096295E-4</v>
      </c>
      <c r="AK38" s="325">
        <f>AK42</f>
        <v>7.7685944253961023E-20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308099933.23614466</v>
      </c>
      <c r="D39" s="122">
        <f>C39/$C$51</f>
        <v>3.8794572522087421E-2</v>
      </c>
      <c r="E39" s="318">
        <f>M.s1C*Molweight</f>
        <v>169440126.44360128</v>
      </c>
      <c r="F39" s="122">
        <f>E39/$E$51</f>
        <v>5.4058041936658793E-2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5.873401449099503E-2</v>
      </c>
      <c r="N39" s="320">
        <f>C.s1C*(Molweight*1000)/(FRACw.s1C*1000+(1-FRACa.s1C-FRACw.s1C)*RHOsolid)</f>
        <v>2.1180008392447211E-3</v>
      </c>
      <c r="O39" s="320"/>
      <c r="P39" s="320"/>
      <c r="Q39" s="320"/>
      <c r="R39" s="120" t="s">
        <v>1495</v>
      </c>
      <c r="S39" s="325">
        <f>F.s1R</f>
        <v>4.9466530063892188E-21</v>
      </c>
      <c r="T39" s="325">
        <f>F.s1C</f>
        <v>1.7838071022015879E-22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1713.6270639009942</v>
      </c>
      <c r="AE39" s="325">
        <f>(k.w2A.w2M+k.w2A.w3A)*M.w2A*Molweight</f>
        <v>1713.6281195769263</v>
      </c>
      <c r="AF39" s="330"/>
      <c r="AG39" s="326">
        <f>KDEG.w2A*M.w2A*Molweight</f>
        <v>5.4879895846459693E-12</v>
      </c>
      <c r="AH39" s="325">
        <f>k.aA.w2A*M.aA*Molweight</f>
        <v>6.3439570376430177E-4</v>
      </c>
      <c r="AI39" s="325">
        <f>k.w2A.aA*M.w2A*Molweight</f>
        <v>1.7671419063996999E-16</v>
      </c>
      <c r="AJ39" s="325"/>
      <c r="AK39" s="325"/>
      <c r="AL39" s="325">
        <f>AL42</f>
        <v>4.2128023343080095E-4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41074.514496219788</v>
      </c>
      <c r="D40" s="122">
        <f>C40/$C$51</f>
        <v>5.1719200802676196E-6</v>
      </c>
      <c r="E40" s="318">
        <f>E39*FRw.s1C</f>
        <v>22589.004991814592</v>
      </c>
      <c r="F40" s="122">
        <f>E40/$E$51</f>
        <v>7.2067780211516849E-6</v>
      </c>
      <c r="G40" s="318"/>
      <c r="H40" s="122"/>
      <c r="I40" s="318"/>
      <c r="J40" s="122"/>
      <c r="K40" s="318"/>
      <c r="L40" s="123"/>
      <c r="M40" s="320">
        <f>M41/Kp.s1R</f>
        <v>6.6556342244161821E-5</v>
      </c>
      <c r="N40" s="320">
        <f>N41/Kp.s1C</f>
        <v>2.4000809403519706E-6</v>
      </c>
      <c r="O40" s="320"/>
      <c r="P40" s="320"/>
      <c r="Q40" s="320"/>
      <c r="R40" s="120" t="s">
        <v>1489</v>
      </c>
      <c r="S40" s="325">
        <f>S39*FRACw.s1R</f>
        <v>9.8933060127784377E-22</v>
      </c>
      <c r="T40" s="325">
        <f>T39*FRACw.s1C</f>
        <v>3.5676142044031763E-23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1713.6281195769263</v>
      </c>
      <c r="AE40" s="325">
        <f>(k.w3A.w2A+k.w3A.w3M)*M.w3A*Molweight</f>
        <v>1713.6203274994214</v>
      </c>
      <c r="AF40" s="330"/>
      <c r="AG40" s="326">
        <f>KDEG.w3A*M.w3A*Molweight</f>
        <v>1.3512021577902205E-10</v>
      </c>
      <c r="AH40" s="325"/>
      <c r="AI40" s="325"/>
      <c r="AJ40" s="325"/>
      <c r="AK40" s="325"/>
      <c r="AL40" s="325"/>
      <c r="AM40" s="325">
        <f>k.w3A.sdA*M.w3A*Molweight</f>
        <v>38.264967121491864</v>
      </c>
      <c r="AN40" s="326">
        <f>k.sdA.w3A*M.sdA*Molweight</f>
        <v>38.257175044122185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2.0710667850125736E-2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308058858.72164845</v>
      </c>
      <c r="D41" s="122">
        <f>C41/$C$51</f>
        <v>3.8789400602007154E-2</v>
      </c>
      <c r="E41" s="318">
        <f>E39*FRs.s1C</f>
        <v>169417537.43860948</v>
      </c>
      <c r="F41" s="122">
        <f>E41/$E$51</f>
        <v>5.4050835158637643E-2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6.655634224416182E-2</v>
      </c>
      <c r="N41" s="320">
        <f>C.s1C*FRs.s1C*(Molweight*1000)/(FRACs.s1C*RHOsolid)</f>
        <v>2.4000809403519705E-3</v>
      </c>
      <c r="O41" s="320"/>
      <c r="P41" s="320"/>
      <c r="Q41" s="320"/>
      <c r="R41" s="120" t="s">
        <v>1494</v>
      </c>
      <c r="S41" s="325">
        <f>S39*(1-FRACw.s1R)</f>
        <v>3.9573224051113751E-21</v>
      </c>
      <c r="T41" s="325">
        <f>T39*(1-FRACw.s1C)</f>
        <v>1.4270456817612705E-22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7.7920773664139345E-3</v>
      </c>
      <c r="AG41" s="326">
        <f>KDEG.sdA*M.sdA*Molweight</f>
        <v>3.2589692894251819E-12</v>
      </c>
      <c r="AH41" s="325"/>
      <c r="AI41" s="325"/>
      <c r="AJ41" s="325"/>
      <c r="AK41" s="325"/>
      <c r="AL41" s="325"/>
      <c r="AM41" s="325">
        <f>k.w3A.sdA*M.w3A*Molweight</f>
        <v>38.264967121491864</v>
      </c>
      <c r="AN41" s="326">
        <f>k.sdA.w3A*M.sdA*Molweight</f>
        <v>38.257175044122185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1.650235733714334E-6</v>
      </c>
      <c r="AG42" s="326">
        <f>KDEG.sA*M.sA*Molweight</f>
        <v>6.4476292900900007E-15</v>
      </c>
      <c r="AH42" s="325"/>
      <c r="AI42" s="325"/>
      <c r="AJ42" s="325">
        <f>k.aA.sA*M.aA*Molweight</f>
        <v>4.2293046917096295E-4</v>
      </c>
      <c r="AK42" s="325">
        <f>k.sA.aA*M.sA*Molweight</f>
        <v>7.7685944253961023E-20</v>
      </c>
      <c r="AL42" s="325">
        <f>k.sA.w2A*M.sA*Molweight</f>
        <v>4.2128023343080095E-4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2.2709219741980469E-2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7369216742.9456377</v>
      </c>
      <c r="D43" s="122">
        <f>C43/$C$51</f>
        <v>0.92789897862803816</v>
      </c>
      <c r="E43" s="318">
        <f>M.s2C*Molweight</f>
        <v>827447777.06446946</v>
      </c>
      <c r="F43" s="122">
        <f>E43/$E$51</f>
        <v>0.26398827463006402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0.15804178800817092</v>
      </c>
      <c r="N43" s="320">
        <f>C.s2C*(Molweight*1000)/(FRACw.s2C*1000+(1-FRACa.s2C-FRACw.s2C)*RHOsolid)</f>
        <v>1.1635980292375996E-3</v>
      </c>
      <c r="O43" s="320"/>
      <c r="P43" s="320"/>
      <c r="Q43" s="320"/>
      <c r="R43" s="120" t="s">
        <v>1495</v>
      </c>
      <c r="S43" s="325">
        <f>F.s2R</f>
        <v>1.331047932890075E-20</v>
      </c>
      <c r="T43" s="325">
        <f>F.s2C</f>
        <v>9.7999698121081539E-23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2.755278399576757E-4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982431.24156054354</v>
      </c>
      <c r="D44" s="122">
        <f>C44/$C$51</f>
        <v>1.2370337003440049E-4</v>
      </c>
      <c r="E44" s="318">
        <f>E43*FRw.s2C</f>
        <v>110311.66205365543</v>
      </c>
      <c r="F44" s="122">
        <f>E44/$E$51</f>
        <v>3.5193744118126112E-5</v>
      </c>
      <c r="G44" s="318"/>
      <c r="H44" s="122"/>
      <c r="I44" s="318"/>
      <c r="J44" s="122"/>
      <c r="K44" s="318"/>
      <c r="L44" s="123"/>
      <c r="M44" s="320">
        <f>M45/Kp.s2R</f>
        <v>1.7909014772289733E-4</v>
      </c>
      <c r="N44" s="320">
        <f>N45/Kp.s2C</f>
        <v>1.3185686239860816E-6</v>
      </c>
      <c r="O44" s="320"/>
      <c r="P44" s="320"/>
      <c r="Q44" s="320"/>
      <c r="R44" s="120" t="s">
        <v>1489</v>
      </c>
      <c r="S44" s="325">
        <f>S43*FRACw.s2R</f>
        <v>2.6620958657801502E-21</v>
      </c>
      <c r="T44" s="325">
        <f>T43*FRACw.s2C</f>
        <v>1.959993962421631E-23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1.9895823191513873E-3</v>
      </c>
      <c r="AE44" s="325">
        <f>k.aT.aM*M.aT*Molweight</f>
        <v>9.3700442569659333E-5</v>
      </c>
      <c r="AF44" s="325">
        <f>kesc.aT*M.aT*Molweight</f>
        <v>8.5871547144293546E-8</v>
      </c>
      <c r="AG44" s="326">
        <f>KDEG.aT*M.aT*Molweight</f>
        <v>3.9811981636810671E-28</v>
      </c>
      <c r="AH44" s="325">
        <f>AH45</f>
        <v>1.3270572035610306E-3</v>
      </c>
      <c r="AI44" s="325">
        <f>AI45</f>
        <v>8.4596654580765533E-15</v>
      </c>
      <c r="AJ44" s="325">
        <f>AJ48</f>
        <v>5.6873880148201352E-4</v>
      </c>
      <c r="AK44" s="325">
        <f>AK48</f>
        <v>5.0490076575409358E-19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8.8868352010624512E-15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7368234311.7040777</v>
      </c>
      <c r="D45" s="122">
        <f>C45/$C$51</f>
        <v>0.92777527525800385</v>
      </c>
      <c r="E45" s="318">
        <f>E43*FRs.s2C</f>
        <v>827337465.40241587</v>
      </c>
      <c r="F45" s="122">
        <f>E45/$E$51</f>
        <v>0.26395308088594588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0.17909014772289733</v>
      </c>
      <c r="N45" s="320">
        <f>C.s2C*FRs.s2C*(Molweight*1000)/(FRACs.s2C*RHOsolid)</f>
        <v>1.3185686239860816E-3</v>
      </c>
      <c r="O45" s="320"/>
      <c r="P45" s="320"/>
      <c r="Q45" s="320"/>
      <c r="R45" s="120" t="s">
        <v>1494</v>
      </c>
      <c r="S45" s="325">
        <f>S43*(1-FRACw.s2R)</f>
        <v>1.0648383463120601E-20</v>
      </c>
      <c r="T45" s="325">
        <f>T43*(1-FRACw.s2C)</f>
        <v>7.8399758496865238E-23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4461.1169091539623</v>
      </c>
      <c r="AE45" s="325">
        <f>(k.w2T.w2M+k.w2T.w3T)*M.w2T*Molweight</f>
        <v>4461.1188016035867</v>
      </c>
      <c r="AF45" s="330"/>
      <c r="AG45" s="326">
        <f>KDEG.w2T*M.w2T*Molweight</f>
        <v>1.7833576312914214E-10</v>
      </c>
      <c r="AH45" s="325">
        <f>k.aT.w2T*M.aT*Molweight</f>
        <v>1.3270572035610306E-3</v>
      </c>
      <c r="AI45" s="325">
        <f>k.w2T.aT*M.w2T*Molweight</f>
        <v>8.4596654580765533E-15</v>
      </c>
      <c r="AJ45" s="325"/>
      <c r="AK45" s="325"/>
      <c r="AL45" s="325">
        <f>AL48</f>
        <v>5.6539259830458715E-4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4461.1461961722971</v>
      </c>
      <c r="AE46" s="325">
        <f>(k.w3T.w2T+k.w3T.w3M)*M.w3T*Molweight</f>
        <v>4461.1169091539623</v>
      </c>
      <c r="AF46" s="330"/>
      <c r="AG46" s="326">
        <f>KDEG.w3T*M.w3T*Molweight</f>
        <v>5.7457553595327367E-9</v>
      </c>
      <c r="AH46" s="325"/>
      <c r="AI46" s="325"/>
      <c r="AJ46" s="325"/>
      <c r="AK46" s="325"/>
      <c r="AL46" s="325"/>
      <c r="AM46" s="325">
        <f>k.w3T.sdT*M.w3T*Molweight</f>
        <v>143.82128357050468</v>
      </c>
      <c r="AN46" s="326">
        <f>k.sdT.w3T*M.sdT*Molweight</f>
        <v>143.79199655791527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114111086.38375725</v>
      </c>
      <c r="D47" s="122">
        <f>C47/$C$51</f>
        <v>1.4368360193365706E-2</v>
      </c>
      <c r="E47" s="318">
        <f>M.s3C*Molweight</f>
        <v>62755602.386518985</v>
      </c>
      <c r="F47" s="122">
        <f>E47/$E$51</f>
        <v>2.0021497013577329E-2</v>
      </c>
      <c r="G47" s="318">
        <f>M.sM*Molweight</f>
        <v>100777872.33445273</v>
      </c>
      <c r="H47" s="122">
        <f>G47/$G$51</f>
        <v>3.9993287688382562E-4</v>
      </c>
      <c r="I47" s="318">
        <f>M.sA*Molweight</f>
        <v>7294659.829759432</v>
      </c>
      <c r="J47" s="122">
        <f>I47/$I$51</f>
        <v>4.3745652506853706E-5</v>
      </c>
      <c r="K47" s="318">
        <f>M.sT*Molweight</f>
        <v>2844513.6182666929</v>
      </c>
      <c r="L47" s="123">
        <f>K47/$K$51</f>
        <v>4.579938032388118E-6</v>
      </c>
      <c r="M47" s="320">
        <f>C.s3R*(Molweight*1000)/(FRACw.s3R*1000+(1-FRACa.s3R-FRACw.s3R)*RHOsolid)</f>
        <v>5.8734014490995023E-2</v>
      </c>
      <c r="N47" s="320">
        <f>C.s3C*(Molweight*1000)/(FRACw.s3C*1000+(1-FRACa.s3C-FRACw.s3C)*RHOsolid)</f>
        <v>2.118000839244722E-3</v>
      </c>
      <c r="O47" s="320">
        <f>C.sM*(Molweight*1000)/(FRACw.sM*1000+(1-FRACa.sM-FRACw.sM)*RHOsolid)</f>
        <v>3.0568621683056769E-5</v>
      </c>
      <c r="P47" s="320">
        <f>C.sA*(Molweight*1000)/(FRACw.sA*1000+(1-FRACa.sA-FRACw.sA)*RHOsolid)</f>
        <v>5.0482074946432051E-6</v>
      </c>
      <c r="Q47" s="320">
        <f>C.sT*(Molweight*1000)/(FRACw.sT*1000+(1-FRACa.sT-FRACw.sT)*RHOsolid)</f>
        <v>8.7489846005895953E-7</v>
      </c>
      <c r="R47" s="120" t="s">
        <v>1495</v>
      </c>
      <c r="S47" s="325">
        <f>F.s3R</f>
        <v>4.9466530063892188E-21</v>
      </c>
      <c r="T47" s="325">
        <f>F.s3C</f>
        <v>1.7838071022015882E-22</v>
      </c>
      <c r="U47" s="325">
        <f>F.sM</f>
        <v>2.5745279913201057E-24</v>
      </c>
      <c r="V47" s="325">
        <f>F.sA</f>
        <v>6.1636292142217877E-26</v>
      </c>
      <c r="W47" s="326">
        <f>F.sT</f>
        <v>2.0173398018705005E-25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2.9287012450819876E-2</v>
      </c>
      <c r="AG47" s="326">
        <f>KDEG.sdT*M.sdT*Molweight</f>
        <v>1.3858207784299626E-10</v>
      </c>
      <c r="AH47" s="325"/>
      <c r="AI47" s="325"/>
      <c r="AJ47" s="325"/>
      <c r="AK47" s="325"/>
      <c r="AL47" s="325"/>
      <c r="AM47" s="325">
        <f>k.w3T.sdT*M.w3T*Molweight</f>
        <v>143.82128357050468</v>
      </c>
      <c r="AN47" s="326">
        <f>k.sdT.w3T*M.sdT*Molweight</f>
        <v>143.79199655791527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1.9985518918458436E-3</v>
      </c>
      <c r="AW47" s="75"/>
      <c r="AX47" s="290">
        <f>output!AF16</f>
        <v>0.36662953958702804</v>
      </c>
      <c r="AY47" s="75"/>
      <c r="AZ47" s="75"/>
      <c r="BA47" s="75"/>
      <c r="BB47" s="75"/>
      <c r="BC47" s="2"/>
      <c r="BD47" s="295">
        <f>output!AF18</f>
        <v>1.9515989607352962E-4</v>
      </c>
      <c r="BE47" s="75"/>
      <c r="BF47" s="295">
        <f>output!AF20</f>
        <v>7.2281442990196142E-5</v>
      </c>
      <c r="BG47" s="75"/>
      <c r="BH47" s="299">
        <f>output!AF19</f>
        <v>2.124141596078365E-3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15212.783146748065</v>
      </c>
      <c r="D48" s="122">
        <f>C48/$C$51</f>
        <v>1.9155259556546734E-6</v>
      </c>
      <c r="E48" s="318">
        <f>E47*FRw.s3C</f>
        <v>8366.2981451165142</v>
      </c>
      <c r="F48" s="122">
        <f>E48/$E$51</f>
        <v>2.6691770448709938E-6</v>
      </c>
      <c r="G48" s="318">
        <f>G47*FRw.sM</f>
        <v>13435.258276823453</v>
      </c>
      <c r="H48" s="122">
        <f>G48/$G$51</f>
        <v>5.3317274614561474E-8</v>
      </c>
      <c r="I48" s="318">
        <f>I47*FRw.sA</f>
        <v>972.49164508191325</v>
      </c>
      <c r="J48" s="122">
        <f>I48/$I$51</f>
        <v>5.8319760707710573E-9</v>
      </c>
      <c r="K48" s="318">
        <f>K47*FRw.sT</f>
        <v>379.21792004621949</v>
      </c>
      <c r="L48" s="123">
        <f>K48/$K$51</f>
        <v>6.1057699405254198E-10</v>
      </c>
      <c r="M48" s="320">
        <f>M49/Kp.s3R</f>
        <v>6.6556342244161807E-5</v>
      </c>
      <c r="N48" s="320">
        <f>N49/Kp.s3C</f>
        <v>2.4000809403519714E-6</v>
      </c>
      <c r="O48" s="320">
        <f>O49/Kp.sM</f>
        <v>3.463981926489568E-8</v>
      </c>
      <c r="P48" s="320">
        <f>P49/Kp.sA</f>
        <v>5.7205390887171372E-9</v>
      </c>
      <c r="Q48" s="320">
        <f>Q49/Kp.sT</f>
        <v>9.9141939881364566E-10</v>
      </c>
      <c r="R48" s="120" t="s">
        <v>1489</v>
      </c>
      <c r="S48" s="325">
        <f>S47*FRACw.s3R</f>
        <v>9.8933060127784377E-22</v>
      </c>
      <c r="T48" s="325">
        <f>T47*FRACw.s3C</f>
        <v>3.5676142044031763E-23</v>
      </c>
      <c r="U48" s="325">
        <f>U47*FRACw.sM</f>
        <v>5.1490559826402121E-25</v>
      </c>
      <c r="V48" s="325">
        <f>V47*FRACw.sA</f>
        <v>1.2327258428443576E-26</v>
      </c>
      <c r="W48" s="326">
        <f>W47*FRACw.sT</f>
        <v>4.0346796037410009E-26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3.3462031489806835E-6</v>
      </c>
      <c r="AG48" s="326">
        <f>KDEG.sT*M.sT*Molweight</f>
        <v>2.8445136182666933E-14</v>
      </c>
      <c r="AH48" s="325"/>
      <c r="AI48" s="325"/>
      <c r="AJ48" s="325">
        <f>k.aT.sT*M.aT*Molweight</f>
        <v>5.6873880148201352E-4</v>
      </c>
      <c r="AK48" s="325">
        <f>k.sT.aT*M.sT*Molweight</f>
        <v>5.0490076575409358E-19</v>
      </c>
      <c r="AL48" s="333">
        <f>k.sT.w2T*M.sT*Molweight</f>
        <v>5.6539259830458715E-4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114095873.60061051</v>
      </c>
      <c r="D49" s="122">
        <f>C49/$C$51</f>
        <v>1.4366444667410053E-2</v>
      </c>
      <c r="E49" s="318">
        <f>E47*FRs.s3C</f>
        <v>62747236.088373877</v>
      </c>
      <c r="F49" s="122">
        <f>E49/$E$51</f>
        <v>2.0018827836532461E-2</v>
      </c>
      <c r="G49" s="318">
        <f>G47*FRs.sM</f>
        <v>100764437.07617591</v>
      </c>
      <c r="H49" s="122">
        <f>G49/$G$51</f>
        <v>3.9987955960921109E-4</v>
      </c>
      <c r="I49" s="318">
        <f>I47*FRs.sA</f>
        <v>7293687.338114351</v>
      </c>
      <c r="J49" s="122">
        <f>I49/$I$51</f>
        <v>4.3739820530782936E-5</v>
      </c>
      <c r="K49" s="318">
        <f>K47*FRs.sT</f>
        <v>2844134.400346647</v>
      </c>
      <c r="L49" s="123">
        <f>K49/$K$51</f>
        <v>4.5793274553940665E-6</v>
      </c>
      <c r="M49" s="320">
        <f>C.s3R*FRs.s3R*(Molweight*1000)/(FRACs.s3R*RHOsolid)</f>
        <v>6.6556342244161806E-2</v>
      </c>
      <c r="N49" s="320">
        <f>C.s3C*FRs.s3C*(Molweight*1000)/(FRACs.s3C*RHOsolid)</f>
        <v>2.4000809403519714E-3</v>
      </c>
      <c r="O49" s="320">
        <f>C.sM*FRs.sM*(Molweight*1000)/(FRACs.sM*RHOsolid)</f>
        <v>3.4639819264895682E-5</v>
      </c>
      <c r="P49" s="320">
        <f>C.sA*FRs.sA*(Molweight*1000)/(FRACs.sA*RHOsolid)</f>
        <v>5.7205390887171371E-6</v>
      </c>
      <c r="Q49" s="320">
        <f>C.sT*FRs.sT*(Molweight*1000)/(FRACs.sT*RHOsolid)</f>
        <v>9.9141939881364567E-7</v>
      </c>
      <c r="R49" s="120" t="s">
        <v>1494</v>
      </c>
      <c r="S49" s="325">
        <f>S47*(1-FRACw.s3R)</f>
        <v>3.9573224051113751E-21</v>
      </c>
      <c r="T49" s="325">
        <f>T47*(1-FRACw.s3C)</f>
        <v>1.4270456817612705E-22</v>
      </c>
      <c r="U49" s="325">
        <f>U47*(1-FRACw.sM)</f>
        <v>2.0596223930560848E-24</v>
      </c>
      <c r="V49" s="325">
        <f>V47*(1-FRACw.sA)</f>
        <v>4.9309033713774304E-26</v>
      </c>
      <c r="W49" s="326">
        <f>W47*(1-FRACw.sT)</f>
        <v>1.6138718414964004E-25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0.95129375226331436</v>
      </c>
      <c r="AG49" s="336">
        <f>SUM(AG11:AG48)</f>
        <v>7.2503945077855939E-9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7941830859.4773178</v>
      </c>
      <c r="D51" s="130">
        <f>C51/SUM($C$51,$E$51,$G$51,$I$51,$K$51)</f>
        <v>7.5571988650669948E-3</v>
      </c>
      <c r="E51" s="317">
        <f>SUM(E11,E15,E19,E23,E27,E31,E35,E39,E43,E47)</f>
        <v>3134411095.4321775</v>
      </c>
      <c r="F51" s="130">
        <f>E51/SUM($C$51,$E$51,$G$51,$I$51,$K$51)</f>
        <v>2.9826079643570256E-3</v>
      </c>
      <c r="G51" s="317">
        <f>SUM(G11,G15,G19,G23,G27,G31,G35,G39,G43,G47)</f>
        <v>251986966212.15054</v>
      </c>
      <c r="H51" s="130">
        <f>G51/SUM($C$51,$E$51,$G$51,$I$51,$K$51)</f>
        <v>0.23978294788255786</v>
      </c>
      <c r="I51" s="317">
        <f>SUM(I11,I15,I19,I23,I27,I31,I35,I39,I43,I47)</f>
        <v>166751652146.84055</v>
      </c>
      <c r="J51" s="130">
        <f>I51/SUM($C$51,$E$51,$G$51,$I$51,$K$51)</f>
        <v>0.15867567802055743</v>
      </c>
      <c r="K51" s="317">
        <f>SUM(K11,K15,K19,K23,K27,K31,K35,K39,K43,K47)</f>
        <v>621081245674.29517</v>
      </c>
      <c r="L51" s="130">
        <f>K51/SUM($C$51,$E$51,$G$51,$I$51,$K$51)</f>
        <v>0.59100156726746067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1.6813423221397815E-6</v>
      </c>
      <c r="T51" s="328">
        <f>SUM(T11,T15,T19,T23,T27,T35,T39,T43,T47)</f>
        <v>5.3388830940555411E-8</v>
      </c>
      <c r="U51" s="328">
        <f>SUM(U11,U15,U19,U23,U27,U35,U39,U43,U47)</f>
        <v>7.5969979734066997E-10</v>
      </c>
      <c r="V51" s="328">
        <f>SUM(V11,V15,V19,V23,V27,V35,V39,V43,V47)</f>
        <v>5.5728405658002171E-11</v>
      </c>
      <c r="W51" s="328">
        <f>SUM(W11,W15,W19,W23,W27,W35,W39,W43,W47)</f>
        <v>3.7410468239098367E-11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8.6398440653358399E-8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2.9255767021774278E-4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3.0997695228083268E-5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0.51690704804304655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5.610757697489728E-2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5.873401449099503E-2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0.15804178800817092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5.8734014490995023E-2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1.9475442662651513E-26</v>
      </c>
      <c r="AY72" s="75"/>
      <c r="AZ72" s="256">
        <f>output!AF22</f>
        <v>7.2352747782279855E-6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0.18723207404827041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3.3224530195435711E-2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6.3013190501683228E-6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1.1486460396876223E-17</v>
      </c>
      <c r="BE84" s="2"/>
      <c r="BF84" s="304">
        <f>IF(output!AK30&lt;0,"",output!AK30)</f>
        <v>4.2542445914356379E-18</v>
      </c>
      <c r="BG84" s="75"/>
      <c r="BH84" s="311">
        <f>IF(output!AK29&lt;0,"",output!AK29)</f>
        <v>2.552546754756902E-17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1.3451656152937994E-16</v>
      </c>
      <c r="AV85" s="87"/>
      <c r="AW85" s="75"/>
      <c r="AX85" s="304">
        <f>output!AL24</f>
        <v>6.5948289525886133E-2</v>
      </c>
      <c r="AY85" s="87"/>
      <c r="AZ85" s="201"/>
      <c r="BA85" s="311">
        <f>IF(output!AI23&lt;0,"",output!AI23)</f>
        <v>4.6601001547417245E-19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2.0132863509742662E-2</v>
      </c>
      <c r="BE86" s="87"/>
      <c r="BF86" s="304">
        <f>IF(output!AJ30&lt;0,"",output!AJ30)</f>
        <v>7.4566161147195031E-3</v>
      </c>
      <c r="BG86" s="75"/>
      <c r="BH86" s="311">
        <f>IF(output!AJ29&lt;0,"",output!AJ29)</f>
        <v>4.4739696688317024E-2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7.9434147430745436E-2</v>
      </c>
      <c r="AV87" s="200"/>
      <c r="AW87" s="84"/>
      <c r="AX87" s="304">
        <f>IF(output!AH24&lt;0,"",output!AH24)</f>
        <v>2.0505694316543866E-3</v>
      </c>
      <c r="AY87" s="291">
        <f>output!AL24</f>
        <v>6.5948289525886133E-2</v>
      </c>
      <c r="AZ87" s="75"/>
      <c r="BA87" s="311">
        <f>IF(output!AH23&lt;0,"",output!AH23)</f>
        <v>1.8641540287767154E-4</v>
      </c>
      <c r="BB87" s="291">
        <f>output!AL23</f>
        <v>5.9952990478078314E-3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6.1817144506750576E-3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3.8868344843079904E-2</v>
      </c>
      <c r="AT89" s="83"/>
      <c r="AU89" s="302"/>
      <c r="AV89" s="75"/>
      <c r="AW89" s="81"/>
      <c r="AX89" s="265">
        <f>output!AD24</f>
        <v>6.1817144506750576E-3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48.262726743459744</v>
      </c>
      <c r="AT90" s="81"/>
      <c r="AU90" s="278">
        <f>output!AD25</f>
        <v>48.673974174687828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1.0446474583731764E-14</v>
      </c>
      <c r="BB91" s="309">
        <f>IF(ISERROR(output!F15),0,output!F15)</f>
        <v>8.2269298744947535E-4</v>
      </c>
      <c r="BC91" s="2"/>
      <c r="BD91" s="295">
        <f>output!AG28</f>
        <v>6.8814074371359341E-13</v>
      </c>
      <c r="BE91" s="2"/>
      <c r="BF91" s="312">
        <f>output!AG30</f>
        <v>2.5486694211614568E-13</v>
      </c>
      <c r="BG91" s="75"/>
      <c r="BH91" s="295">
        <f>output!AG29</f>
        <v>3.360482198901277E-12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1.7070209158211283E-4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2.0213743855883837E-15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0.32929900224915459</v>
      </c>
      <c r="AZ96" s="75"/>
      <c r="BA96" s="75"/>
      <c r="BB96" s="43"/>
      <c r="BC96" s="2"/>
      <c r="BD96" s="277">
        <f>IF(ISERROR(output!F39),0,output!F39)</f>
        <v>5.4058041936658793E-2</v>
      </c>
      <c r="BE96" s="43"/>
      <c r="BF96" s="277">
        <f>IF(ISERROR(output!F47),0,output!F47)</f>
        <v>2.0021497013577329E-2</v>
      </c>
      <c r="BG96" s="43"/>
      <c r="BH96" s="277">
        <f>IF(ISERROR(output!F43),0,output!F43)</f>
        <v>0.26398827463006402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6.0308739917438073E-12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0.36461123081428837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4.9911442469840561E-14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0.48561016428247944</v>
      </c>
      <c r="AW101" s="56"/>
      <c r="AX101" s="307"/>
      <c r="AY101" s="276">
        <f>IF(ISERROR(output!F23),0,output!F23)</f>
        <v>3.9208764701145768E-3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5.0848533065720636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5.5755348852248581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0.17140144926902412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2.1818829640884357E-12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0.49068157865061279</v>
      </c>
      <c r="AW111" s="75"/>
      <c r="AX111" s="290">
        <f>output!AF26</f>
        <v>3.5312228565083724E-2</v>
      </c>
      <c r="AY111" s="75"/>
      <c r="AZ111" s="75"/>
      <c r="BA111" s="75"/>
      <c r="BB111" s="76"/>
      <c r="BC111" s="2"/>
      <c r="BD111" s="295">
        <f>output!AF28</f>
        <v>1.0732854473575585E-4</v>
      </c>
      <c r="BE111" s="76"/>
      <c r="BF111" s="295">
        <f>output!AF30</f>
        <v>3.9751312865094766E-5</v>
      </c>
      <c r="BG111" s="43"/>
      <c r="BH111" s="294">
        <f>output!AF29</f>
        <v>2.3850787718080596E-4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2.7434697151377908E-9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2.9590090514721051E-6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1.8605159640438101E-6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2.0494665105410468E-6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3.2872623510266218E-3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3.7096499966060965E-3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2.1180008392447211E-3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1.1635980292375996E-3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2.118000839244722E-3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3.526615090956556E-3</v>
      </c>
      <c r="AT136" s="81">
        <f>output!AD32</f>
        <v>2.7476563352276755E-2</v>
      </c>
      <c r="AU136" s="268">
        <f>output!AF32</f>
        <v>1.1093274801834492E-6</v>
      </c>
      <c r="AV136" s="221"/>
      <c r="AW136" s="221"/>
      <c r="AX136" s="221"/>
      <c r="AY136" s="279">
        <f>output!AE38</f>
        <v>9.1311400710015957E-5</v>
      </c>
      <c r="AZ136" s="266">
        <f>output!AD38</f>
        <v>1.1486858875369736E-3</v>
      </c>
      <c r="BA136" s="268">
        <f>output!AF38</f>
        <v>4.8313891869407534E-8</v>
      </c>
      <c r="BB136" s="75"/>
      <c r="BC136" s="75"/>
      <c r="BD136" s="75"/>
      <c r="BE136" s="279">
        <f>output!AE44</f>
        <v>9.3700442569659333E-5</v>
      </c>
      <c r="BF136" s="266">
        <f>output!AD44</f>
        <v>1.9895823191513873E-3</v>
      </c>
      <c r="BG136" s="268">
        <f>output!AF44</f>
        <v>8.5871547144293546E-8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2.986015652014769E-27</v>
      </c>
      <c r="AV141" s="223" t="s">
        <v>446</v>
      </c>
      <c r="AW141" s="221"/>
      <c r="AX141" s="221"/>
      <c r="AY141" s="2"/>
      <c r="AZ141" s="202"/>
      <c r="BA141" s="269">
        <f>output!AG38</f>
        <v>2.6661007520457817E-29</v>
      </c>
      <c r="BB141" s="47" t="s">
        <v>446</v>
      </c>
      <c r="BC141" s="75"/>
      <c r="BD141" s="75"/>
      <c r="BE141" s="2"/>
      <c r="BF141" s="202"/>
      <c r="BG141" s="269">
        <f>output!AG44</f>
        <v>3.9811981636810671E-28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1.2017498865964738E-8</v>
      </c>
      <c r="AW142" s="221"/>
      <c r="AX142" s="221"/>
      <c r="AY142" s="203"/>
      <c r="AZ142" s="202"/>
      <c r="BA142" s="75"/>
      <c r="BB142" s="277">
        <f>IF(ISERROR(output!J11),0,output!J11)</f>
        <v>7.9092312519722908E-10</v>
      </c>
      <c r="BC142" s="75"/>
      <c r="BD142" s="75"/>
      <c r="BE142" s="203"/>
      <c r="BF142" s="75"/>
      <c r="BG142" s="75"/>
      <c r="BH142" s="277">
        <f>IF(ISERROR(output!L11),0,output!L11)</f>
        <v>3.7742726372586896E-10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6.8317999032917622E-18</v>
      </c>
      <c r="AY144" s="2"/>
      <c r="AZ144" s="75"/>
      <c r="BA144" s="75"/>
      <c r="BB144" s="75"/>
      <c r="BC144" s="75"/>
      <c r="BD144" s="270">
        <f>k.sA.aA*M.sA*Molweight</f>
        <v>7.7685944253961023E-20</v>
      </c>
      <c r="BE144" s="2"/>
      <c r="BF144" s="75"/>
      <c r="BG144" s="75"/>
      <c r="BH144" s="75"/>
      <c r="BI144" s="75"/>
      <c r="BJ144" s="270">
        <f>k.sT.aT*M.sT*Molweight</f>
        <v>5.0490076575409358E-19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1.404204331407916E-15</v>
      </c>
      <c r="AV145" s="221"/>
      <c r="AW145" s="221"/>
      <c r="AX145" s="221"/>
      <c r="AY145" s="2"/>
      <c r="AZ145" s="75"/>
      <c r="BA145" s="270">
        <f>k.w2A.aA*M.w2A*Molweight</f>
        <v>1.7671419063996999E-16</v>
      </c>
      <c r="BB145" s="75"/>
      <c r="BC145" s="75"/>
      <c r="BD145" s="221"/>
      <c r="BE145" s="2"/>
      <c r="BF145" s="75"/>
      <c r="BG145" s="270">
        <f>k.w2T.aT*M.w2T*Molweight</f>
        <v>8.4596654580765533E-15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1.1974419466614065E-2</v>
      </c>
      <c r="AY146" s="2"/>
      <c r="AZ146" s="75"/>
      <c r="BA146" s="221"/>
      <c r="BB146" s="75"/>
      <c r="BC146" s="75"/>
      <c r="BD146" s="270">
        <f>IF(output!AJ42&lt;0,"",output!AJ42)</f>
        <v>4.2293046917096295E-4</v>
      </c>
      <c r="BE146" s="2"/>
      <c r="BF146" s="75"/>
      <c r="BG146" s="221"/>
      <c r="BH146" s="75"/>
      <c r="BI146" s="75"/>
      <c r="BJ146" s="270">
        <f>IF(output!AJ48&lt;0,"",output!AJ48)</f>
        <v>5.6873880148201352E-4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2334.535557964316</v>
      </c>
      <c r="AT147" s="81">
        <f>output!AD33</f>
        <v>2334.5116729611923</v>
      </c>
      <c r="AU147" s="270">
        <f>IF(output!AH33&lt;0,"",output!AH33)</f>
        <v>1.1974419467227358E-2</v>
      </c>
      <c r="AV147" s="272">
        <f>output!AL33</f>
        <v>1.1910583687713286E-2</v>
      </c>
      <c r="AW147" s="221"/>
      <c r="AX147" s="221"/>
      <c r="AY147" s="279">
        <f>output!AE39</f>
        <v>1713.6281195769263</v>
      </c>
      <c r="AZ147" s="266">
        <f>output!AD39</f>
        <v>1713.6270639009942</v>
      </c>
      <c r="BA147" s="270">
        <f>IF(output!AH39&lt;0,"",output!AH39)</f>
        <v>6.3439570376430177E-4</v>
      </c>
      <c r="BB147" s="272">
        <f>output!AL39</f>
        <v>4.2128023343080095E-4</v>
      </c>
      <c r="BC147" s="75"/>
      <c r="BD147" s="75"/>
      <c r="BE147" s="279">
        <f>output!AE45</f>
        <v>4461.1188016035867</v>
      </c>
      <c r="BF147" s="266">
        <f>output!AD45</f>
        <v>4461.1169091539623</v>
      </c>
      <c r="BG147" s="270">
        <f>IF(output!AH45&lt;0,"",output!AH45)</f>
        <v>1.3270572035610306E-3</v>
      </c>
      <c r="BH147" s="272">
        <f>output!AL45</f>
        <v>5.6539259830458715E-4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3.1527548441551326E-2</v>
      </c>
      <c r="AW150" s="221"/>
      <c r="AX150" s="221"/>
      <c r="AY150" s="2"/>
      <c r="AZ150" s="75"/>
      <c r="BA150" s="59"/>
      <c r="BB150" s="273">
        <f>IF(ISERROR(output!J27),0,output!J27)</f>
        <v>3.8165643851708744E-2</v>
      </c>
      <c r="BC150" s="78"/>
      <c r="BD150" s="75"/>
      <c r="BE150" s="2"/>
      <c r="BF150" s="75"/>
      <c r="BG150" s="59"/>
      <c r="BH150" s="273">
        <f>IF(ISERROR(output!L27),0,output!L27)</f>
        <v>2.9431642846084245E-2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4.0928534151671004E-13</v>
      </c>
      <c r="AY151" s="2"/>
      <c r="AZ151" s="75"/>
      <c r="BA151" s="59"/>
      <c r="BB151" s="49"/>
      <c r="BC151" s="75"/>
      <c r="BD151" s="274">
        <f>output!AJ42</f>
        <v>4.2293046917096295E-4</v>
      </c>
      <c r="BE151" s="2"/>
      <c r="BF151" s="75"/>
      <c r="BG151" s="59"/>
      <c r="BH151" s="59"/>
      <c r="BI151" s="75"/>
      <c r="BJ151" s="274">
        <f>output!AG48</f>
        <v>2.8445136182666933E-14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3.1477831744652375E-11</v>
      </c>
      <c r="AW152" s="221"/>
      <c r="AX152" s="221"/>
      <c r="AY152" s="2"/>
      <c r="AZ152" s="75"/>
      <c r="BA152" s="59"/>
      <c r="BB152" s="257">
        <f>output!AG39</f>
        <v>5.4879895846459693E-12</v>
      </c>
      <c r="BC152" s="2"/>
      <c r="BD152" s="75"/>
      <c r="BE152" s="2"/>
      <c r="BF152" s="75"/>
      <c r="BG152" s="59"/>
      <c r="BH152" s="257">
        <f>output!AG45</f>
        <v>1.7833576312914214E-10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1979.0567109158706</v>
      </c>
      <c r="AU153" s="224"/>
      <c r="AV153" s="225"/>
      <c r="AW153" s="221"/>
      <c r="AX153" s="221"/>
      <c r="AY153" s="2"/>
      <c r="AZ153" s="275">
        <f>k.w3A.w2A*M.w3A*Molweight</f>
        <v>1406.3790131213182</v>
      </c>
      <c r="BA153" s="59"/>
      <c r="BB153" s="49"/>
      <c r="BC153" s="2"/>
      <c r="BD153" s="75"/>
      <c r="BE153" s="2"/>
      <c r="BF153" s="275">
        <f>k.w3T.w2T*M.w3T*Molweight</f>
        <v>4461.1169091539623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1979.0770246629113</v>
      </c>
      <c r="AU155" s="221"/>
      <c r="AV155" s="223" t="s">
        <v>2166</v>
      </c>
      <c r="AW155" s="221"/>
      <c r="AX155" s="271">
        <f>IF(ISERROR(output!H47),0,output!H47)</f>
        <v>3.9993287688382562E-4</v>
      </c>
      <c r="AY155" s="2"/>
      <c r="AZ155" s="275">
        <f>k.w2A.w3A*M.w2A*Molweight</f>
        <v>1713.6281195769263</v>
      </c>
      <c r="BA155" s="75"/>
      <c r="BB155" s="223" t="s">
        <v>2166</v>
      </c>
      <c r="BC155" s="47"/>
      <c r="BD155" s="271">
        <f>IF(ISERROR(output!J47),0,output!J47)</f>
        <v>4.3745652506853706E-5</v>
      </c>
      <c r="BE155" s="2"/>
      <c r="BF155" s="275">
        <f>k.w2T.w3T*M.w2T*Molweight</f>
        <v>4153.9012990643096</v>
      </c>
      <c r="BG155" s="75"/>
      <c r="BH155" s="223" t="s">
        <v>2166</v>
      </c>
      <c r="BI155" s="47"/>
      <c r="BJ155" s="271">
        <f>IF(ISERROR(output!L47),0,output!L47)</f>
        <v>4.579938032388118E-6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0.94581674504464741</v>
      </c>
      <c r="AW156" s="221"/>
      <c r="AX156" s="221"/>
      <c r="AY156" s="203"/>
      <c r="AZ156" s="2"/>
      <c r="BA156" s="75"/>
      <c r="BB156" s="273">
        <f>IF(ISERROR(output!J31),0,output!J31)</f>
        <v>0.93967926743448205</v>
      </c>
      <c r="BC156" s="75"/>
      <c r="BD156" s="75"/>
      <c r="BE156" s="203"/>
      <c r="BF156" s="2"/>
      <c r="BG156" s="75"/>
      <c r="BH156" s="273">
        <f>IF(ISERROR(output!L31),0,output!L31)</f>
        <v>0.94825074149755773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2286.3016080238576</v>
      </c>
      <c r="AT157" s="266">
        <f>output!AD34</f>
        <v>2286.3183390410145</v>
      </c>
      <c r="AU157" s="221"/>
      <c r="AV157" s="225"/>
      <c r="AW157" s="226"/>
      <c r="AX157" s="221"/>
      <c r="AY157" s="279">
        <f>output!AE40</f>
        <v>1713.6203274994214</v>
      </c>
      <c r="AZ157" s="266">
        <f>output!AD40</f>
        <v>1713.6281195769263</v>
      </c>
      <c r="BA157" s="75"/>
      <c r="BB157" s="2"/>
      <c r="BC157" s="76"/>
      <c r="BD157" s="75"/>
      <c r="BE157" s="279">
        <f>output!AE46</f>
        <v>4461.1169091539623</v>
      </c>
      <c r="BF157" s="266">
        <f>output!AD46</f>
        <v>4461.1461961722971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9.4432525944682127E-10</v>
      </c>
      <c r="AW158" s="226"/>
      <c r="AX158" s="221"/>
      <c r="AY158" s="2"/>
      <c r="AZ158" s="75"/>
      <c r="BA158" s="75"/>
      <c r="BB158" s="274">
        <f>output!AG40</f>
        <v>1.3512021577902205E-10</v>
      </c>
      <c r="BC158" s="2"/>
      <c r="BD158" s="75"/>
      <c r="BE158" s="2"/>
      <c r="BF158" s="75"/>
      <c r="BG158" s="75"/>
      <c r="BH158" s="274">
        <f>output!AG46</f>
        <v>5.7457553595327367E-9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58.185097709913258</v>
      </c>
      <c r="AU159" s="221"/>
      <c r="AV159" s="221"/>
      <c r="AW159" s="226"/>
      <c r="AX159" s="221"/>
      <c r="AY159" s="2"/>
      <c r="AZ159" s="272">
        <f>k.sdA.w3A*M.sdA*Molweight</f>
        <v>38.257175044122185</v>
      </c>
      <c r="BA159" s="2"/>
      <c r="BB159" s="75"/>
      <c r="BC159" s="2"/>
      <c r="BD159" s="75"/>
      <c r="BE159" s="2"/>
      <c r="BF159" s="275">
        <f>k.sdT.w3T*M.sdT*Molweight</f>
        <v>143.79199655791527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58.201828726125498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38.264967121491864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143.82128357050468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2.2255761619418637E-2</v>
      </c>
      <c r="AW162" s="221"/>
      <c r="AX162" s="221"/>
      <c r="AY162" s="2"/>
      <c r="AZ162" s="75"/>
      <c r="BA162" s="47"/>
      <c r="BB162" s="276">
        <f>IF(ISERROR(output!J35),0,output!J35)</f>
        <v>2.211134227037918E-2</v>
      </c>
      <c r="BC162" s="75"/>
      <c r="BD162" s="75"/>
      <c r="BE162" s="2"/>
      <c r="BF162" s="75"/>
      <c r="BG162" s="47"/>
      <c r="BH162" s="276">
        <f>IF(ISERROR(output!L35),0,output!L35)</f>
        <v>2.23130353408982E-2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2.2776214514027701E-11</v>
      </c>
      <c r="AV164" s="269">
        <f>output!AF35</f>
        <v>1.6731016189467388E-2</v>
      </c>
      <c r="AW164" s="221"/>
      <c r="AX164" s="274">
        <f>output!AF36</f>
        <v>6.3835778491483017E-5</v>
      </c>
      <c r="AY164" s="2"/>
      <c r="AZ164" s="2"/>
      <c r="BA164" s="269">
        <f>output!AG41</f>
        <v>3.2589692894251819E-12</v>
      </c>
      <c r="BB164" s="269">
        <f>output!AF41</f>
        <v>7.7920773664139345E-3</v>
      </c>
      <c r="BC164" s="75"/>
      <c r="BD164" s="274">
        <f>output!AF42</f>
        <v>1.650235733714334E-6</v>
      </c>
      <c r="BE164" s="2"/>
      <c r="BF164" s="2"/>
      <c r="BG164" s="269">
        <f>output!AG47</f>
        <v>1.3858207784299626E-10</v>
      </c>
      <c r="BH164" s="269">
        <f>output!AF47</f>
        <v>2.9287012450819876E-2</v>
      </c>
      <c r="BI164" s="75"/>
      <c r="BJ164" s="274">
        <f>output!AF48</f>
        <v>3.3462031489806835E-6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3028.2530806924142</v>
      </c>
      <c r="BA172" s="128">
        <f>output!I11</f>
        <v>131.88773784778036</v>
      </c>
      <c r="BB172" s="128">
        <f>output!K11</f>
        <v>234.41299510630341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7944531283.8931341</v>
      </c>
      <c r="BA173" s="128">
        <f>output!I27</f>
        <v>6364184167.52034</v>
      </c>
      <c r="BB173" s="128">
        <f>output!K27</f>
        <v>18279441401.08696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238333492176.45178</v>
      </c>
      <c r="BA174" s="128">
        <f>output!I31</f>
        <v>156693070332.8327</v>
      </c>
      <c r="BB174" s="128">
        <f>output!K31</f>
        <v>588940751740.8772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5608161851.2181206</v>
      </c>
      <c r="BA175" s="128">
        <f>output!I35</f>
        <v>3687102854.7700005</v>
      </c>
      <c r="BB175" s="128">
        <f>output!K35</f>
        <v>13858207784.299625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100777872.33445273</v>
      </c>
      <c r="BA176" s="128">
        <f>output!I47</f>
        <v>7294659.829759432</v>
      </c>
      <c r="BB176" s="128">
        <f>output!K47</f>
        <v>2844513.6182666929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35029.870199606521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105089.61059881958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105089.61059881958</v>
      </c>
      <c r="G11" s="508">
        <f>2*Scale*(M.tot/Emis.tot)/(3600*24*365)</f>
        <v>210179.22119763916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8.6799999999999987E-11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2.74E-11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8.6199999999999984E-11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2.74E-11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8.9499999999999997E-14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6.34E-14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6.34E-14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3" transitionEvaluation="1" transitionEntry="1" codeName="Sheet2"/>
  <dimension ref="A1:O219"/>
  <sheetViews>
    <sheetView topLeftCell="A133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6.814519572645419E-7</v>
      </c>
      <c r="L147" s="664">
        <f t="shared" ref="L147:L167" si="7">IF(ISBLANK(I147),IF(ISNUMBER(J147)=FALSE,K147,J147),I147)</f>
        <v>6.814519572645419E-7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7.32609943251728E-8</v>
      </c>
      <c r="L148" s="664">
        <f t="shared" si="7"/>
        <v>7.32609943251728E-8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2.6774848080799986E-8</v>
      </c>
      <c r="L149" s="664">
        <f t="shared" si="7"/>
        <v>2.6774848080799986E-8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9.4647246240098576E-9</v>
      </c>
      <c r="L150" s="664">
        <f t="shared" si="7"/>
        <v>9.4647246240098576E-9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2.0187699056064087E-6</v>
      </c>
      <c r="L151" s="664">
        <f t="shared" si="7"/>
        <v>2.0187699056064087E-6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7.812555555555558E-10</v>
      </c>
      <c r="L152" s="664">
        <f t="shared" si="7"/>
        <v>7.812555555555558E-10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7.0577588290635961E-7</v>
      </c>
      <c r="L153" s="664">
        <f t="shared" si="7"/>
        <v>7.0577588290635961E-7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2.6195185185185192E-10</v>
      </c>
      <c r="L154" s="664">
        <f t="shared" si="7"/>
        <v>2.6195185185185192E-10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>
        <f>8.68*10^-11</f>
        <v>8.6799999999999987E-11</v>
      </c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>IF(ISBLANK(I158),IF(ISNUMBER(J158)=FALSE,K158,J158),I158)</f>
        <v>8.6799999999999987E-11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>
        <f>2.74*10^-11</f>
        <v>2.74E-11</v>
      </c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2.7428797247595103E-11</v>
      </c>
      <c r="L159" s="664">
        <f>IF(ISBLANK(I159),IF(ISNUMBER(J159)=FALSE,K159,J159),I159)</f>
        <v>2.74E-11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2.8933333333373943E-9</v>
      </c>
      <c r="L191" s="664">
        <f t="shared" si="9"/>
        <v>2.8933333333373943E-9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9.1333333333739463E-10</v>
      </c>
      <c r="L192" s="664">
        <f t="shared" si="9"/>
        <v>9.1333333333739463E-10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0" priority="85" operator="equal">
      <formula>0</formula>
    </cfRule>
  </conditionalFormatting>
  <conditionalFormatting sqref="J1:J1048576">
    <cfRule type="expression" dxfId="139" priority="82">
      <formula>"HLOOKUP(CaseName,CaseData,ROW()+157,FALSE)&lt;&gt;"""""</formula>
    </cfRule>
  </conditionalFormatting>
  <conditionalFormatting sqref="I30:I31">
    <cfRule type="cellIs" dxfId="138" priority="81" operator="equal">
      <formula>0</formula>
    </cfRule>
  </conditionalFormatting>
  <conditionalFormatting sqref="I60">
    <cfRule type="cellIs" dxfId="137" priority="73" operator="equal">
      <formula>0</formula>
    </cfRule>
  </conditionalFormatting>
  <conditionalFormatting sqref="I62">
    <cfRule type="cellIs" dxfId="136" priority="72" operator="equal">
      <formula>0</formula>
    </cfRule>
  </conditionalFormatting>
  <conditionalFormatting sqref="I66">
    <cfRule type="cellIs" dxfId="135" priority="71" operator="equal">
      <formula>0</formula>
    </cfRule>
  </conditionalFormatting>
  <conditionalFormatting sqref="I72">
    <cfRule type="cellIs" dxfId="134" priority="70" operator="equal">
      <formula>0</formula>
    </cfRule>
  </conditionalFormatting>
  <conditionalFormatting sqref="I78">
    <cfRule type="cellIs" dxfId="133" priority="69" operator="equal">
      <formula>0</formula>
    </cfRule>
  </conditionalFormatting>
  <conditionalFormatting sqref="I121">
    <cfRule type="cellIs" dxfId="132" priority="68" operator="equal">
      <formula>0</formula>
    </cfRule>
  </conditionalFormatting>
  <conditionalFormatting sqref="I127:I128">
    <cfRule type="cellIs" dxfId="131" priority="67" operator="equal">
      <formula>0</formula>
    </cfRule>
  </conditionalFormatting>
  <conditionalFormatting sqref="K191:K195">
    <cfRule type="cellIs" dxfId="130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42" transitionEvaluation="1" transitionEntry="1" codeName="Sheet3"/>
  <dimension ref="A1:O225"/>
  <sheetViews>
    <sheetView topLeftCell="A142" zoomScaleNormal="100" workbookViewId="0">
      <selection activeCell="I166" sqref="I166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6.814519572645419E-7</v>
      </c>
      <c r="L153" s="664">
        <f t="shared" ref="L153:L173" si="6">IF(ISBLANK(I153),IF(ISNUMBER(J153)=FALSE,K153,J153),I153)</f>
        <v>6.814519572645419E-7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3.6630497162586398E-9</v>
      </c>
      <c r="L154" s="664">
        <f t="shared" si="6"/>
        <v>3.6630497162586398E-9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2.6794848080799985E-8</v>
      </c>
      <c r="L155" s="664">
        <f t="shared" si="6"/>
        <v>2.6794848080799985E-8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9.4647246240098576E-9</v>
      </c>
      <c r="L156" s="664">
        <f t="shared" si="6"/>
        <v>9.4647246240098576E-9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2.0187699056064087E-6</v>
      </c>
      <c r="L157" s="664">
        <f t="shared" si="6"/>
        <v>2.0187699056064087E-6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7.8185555555555577E-10</v>
      </c>
      <c r="L158" s="664">
        <f t="shared" si="6"/>
        <v>7.8185555555555577E-10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7.0577588290635961E-7</v>
      </c>
      <c r="L159" s="664">
        <f t="shared" si="6"/>
        <v>7.0577588290635961E-7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>
        <f>8.62*10^-11</f>
        <v>8.6199999999999984E-11</v>
      </c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8.6199999999999984E-11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>
        <f>2.74*10^-11</f>
        <v>2.74E-11</v>
      </c>
      <c r="J165" s="662" t="str">
        <f>IF(ISBLANK(HLOOKUP(CaseName,CaseData,MATCH($G165,cases!$G$3:$G$2464,0),FALSE)),"",HLOOKUP(CaseName,CaseData,MATCH($G165,cases!$G$3:$G$2464,0),FALSE))</f>
        <v/>
      </c>
      <c r="K165" s="663">
        <f>2.74*10^-11</f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2.1989886868443805E-11</v>
      </c>
      <c r="L171" s="664">
        <f t="shared" si="6"/>
        <v>2.1989886868443805E-11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2.8733333333373944E-9</v>
      </c>
      <c r="L197" s="664">
        <f t="shared" si="11"/>
        <v>2.8733333333373944E-9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9.1333333333739463E-10</v>
      </c>
      <c r="L198" s="664">
        <f t="shared" si="11"/>
        <v>9.1333333333739463E-10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9" priority="72" operator="equal">
      <formula>0</formula>
    </cfRule>
  </conditionalFormatting>
  <conditionalFormatting sqref="I68">
    <cfRule type="cellIs" dxfId="128" priority="63" operator="equal">
      <formula>0</formula>
    </cfRule>
  </conditionalFormatting>
  <conditionalFormatting sqref="I72">
    <cfRule type="cellIs" dxfId="127" priority="62" operator="equal">
      <formula>0</formula>
    </cfRule>
  </conditionalFormatting>
  <conditionalFormatting sqref="I188">
    <cfRule type="cellIs" dxfId="126" priority="70" operator="equal">
      <formula>0</formula>
    </cfRule>
  </conditionalFormatting>
  <conditionalFormatting sqref="I189">
    <cfRule type="cellIs" dxfId="125" priority="69" operator="equal">
      <formula>0</formula>
    </cfRule>
  </conditionalFormatting>
  <conditionalFormatting sqref="I221">
    <cfRule type="cellIs" dxfId="124" priority="68" operator="equal">
      <formula>0</formula>
    </cfRule>
  </conditionalFormatting>
  <conditionalFormatting sqref="I222">
    <cfRule type="cellIs" dxfId="123" priority="67" operator="equal">
      <formula>0</formula>
    </cfRule>
  </conditionalFormatting>
  <conditionalFormatting sqref="I223">
    <cfRule type="cellIs" dxfId="122" priority="66" operator="equal">
      <formula>0</formula>
    </cfRule>
  </conditionalFormatting>
  <conditionalFormatting sqref="I30:I31">
    <cfRule type="cellIs" dxfId="121" priority="65" operator="equal">
      <formula>0</formula>
    </cfRule>
  </conditionalFormatting>
  <conditionalFormatting sqref="I66">
    <cfRule type="cellIs" dxfId="120" priority="64" operator="equal">
      <formula>0</formula>
    </cfRule>
  </conditionalFormatting>
  <conditionalFormatting sqref="I78">
    <cfRule type="cellIs" dxfId="119" priority="61" operator="equal">
      <formula>0</formula>
    </cfRule>
  </conditionalFormatting>
  <conditionalFormatting sqref="I84">
    <cfRule type="cellIs" dxfId="118" priority="60" operator="equal">
      <formula>0</formula>
    </cfRule>
  </conditionalFormatting>
  <conditionalFormatting sqref="K44:K45">
    <cfRule type="cellIs" dxfId="117" priority="50" operator="equal">
      <formula>0</formula>
    </cfRule>
  </conditionalFormatting>
  <conditionalFormatting sqref="I137">
    <cfRule type="cellIs" dxfId="116" priority="44" operator="equal">
      <formula>0</formula>
    </cfRule>
  </conditionalFormatting>
  <conditionalFormatting sqref="I149">
    <cfRule type="cellIs" dxfId="115" priority="43" operator="equal">
      <formula>0</formula>
    </cfRule>
  </conditionalFormatting>
  <conditionalFormatting sqref="I150">
    <cfRule type="cellIs" dxfId="114" priority="42" operator="equal">
      <formula>0</formula>
    </cfRule>
  </conditionalFormatting>
  <conditionalFormatting sqref="I114:I120">
    <cfRule type="cellIs" dxfId="113" priority="41" operator="equal">
      <formula>0</formula>
    </cfRule>
  </conditionalFormatting>
  <conditionalFormatting sqref="K114:K119">
    <cfRule type="cellIs" dxfId="112" priority="40" operator="equal">
      <formula>0</formula>
    </cfRule>
  </conditionalFormatting>
  <conditionalFormatting sqref="K137">
    <cfRule type="cellIs" dxfId="111" priority="39" operator="equal">
      <formula>0</formula>
    </cfRule>
  </conditionalFormatting>
  <conditionalFormatting sqref="I197:I201">
    <cfRule type="cellIs" dxfId="110" priority="35" operator="equal">
      <formula>0</formula>
    </cfRule>
  </conditionalFormatting>
  <conditionalFormatting sqref="J1:J2 J152 J224:J1048576 J4 J43 J47 J174">
    <cfRule type="cellIs" dxfId="109" priority="31" operator="notEqual">
      <formula>""""""</formula>
    </cfRule>
  </conditionalFormatting>
  <conditionalFormatting sqref="J63 J65">
    <cfRule type="cellIs" dxfId="108" priority="30" operator="notEqual">
      <formula>""""""</formula>
    </cfRule>
  </conditionalFormatting>
  <conditionalFormatting sqref="J111 J113">
    <cfRule type="cellIs" dxfId="107" priority="29" operator="notEqual">
      <formula>""""""</formula>
    </cfRule>
  </conditionalFormatting>
  <conditionalFormatting sqref="J190 J192">
    <cfRule type="cellIs" dxfId="106" priority="28" operator="notEqual">
      <formula>""""""</formula>
    </cfRule>
  </conditionalFormatting>
  <conditionalFormatting sqref="K197:K201">
    <cfRule type="cellIs" dxfId="105" priority="11" operator="equal">
      <formula>0</formula>
    </cfRule>
  </conditionalFormatting>
  <conditionalFormatting sqref="K157">
    <cfRule type="cellIs" dxfId="104" priority="10" operator="equal">
      <formula>0</formula>
    </cfRule>
  </conditionalFormatting>
  <conditionalFormatting sqref="K159">
    <cfRule type="cellIs" dxfId="103" priority="9" operator="equal">
      <formula>0</formula>
    </cfRule>
  </conditionalFormatting>
  <conditionalFormatting sqref="J5:J42">
    <cfRule type="expression" dxfId="102" priority="8">
      <formula>"HLOOKUP(CaseName,CaseData,ROW()+157,FALSE)&lt;&gt;"""""</formula>
    </cfRule>
  </conditionalFormatting>
  <conditionalFormatting sqref="J44:J46">
    <cfRule type="expression" dxfId="101" priority="7">
      <formula>"HLOOKUP(CaseName,CaseData,ROW()+157,FALSE)&lt;&gt;"""""</formula>
    </cfRule>
  </conditionalFormatting>
  <conditionalFormatting sqref="J48:J62">
    <cfRule type="expression" dxfId="100" priority="6">
      <formula>"HLOOKUP(CaseName,CaseData,ROW()+157,FALSE)&lt;&gt;"""""</formula>
    </cfRule>
  </conditionalFormatting>
  <conditionalFormatting sqref="J66:J110">
    <cfRule type="expression" dxfId="99" priority="5">
      <formula>"HLOOKUP(CaseName,CaseData,ROW()+157,FALSE)&lt;&gt;"""""</formula>
    </cfRule>
  </conditionalFormatting>
  <conditionalFormatting sqref="J114:J151">
    <cfRule type="expression" dxfId="98" priority="4">
      <formula>"HLOOKUP(CaseName,CaseData,ROW()+157,FALSE)&lt;&gt;"""""</formula>
    </cfRule>
  </conditionalFormatting>
  <conditionalFormatting sqref="J153:J173">
    <cfRule type="expression" dxfId="97" priority="3">
      <formula>"HLOOKUP(CaseName,CaseData,ROW()+157,FALSE)&lt;&gt;"""""</formula>
    </cfRule>
  </conditionalFormatting>
  <conditionalFormatting sqref="J175:J189">
    <cfRule type="expression" dxfId="96" priority="2">
      <formula>"HLOOKUP(CaseName,CaseData,ROW()+157,FALSE)&lt;&gt;"""""</formula>
    </cfRule>
  </conditionalFormatting>
  <conditionalFormatting sqref="J193:J223">
    <cfRule type="expression" dxfId="95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6" transitionEvaluation="1" transitionEntry="1" codeName="Sheet4"/>
  <dimension ref="A1:O414"/>
  <sheetViews>
    <sheetView topLeftCell="A86" zoomScaleNormal="100" workbookViewId="0">
      <selection activeCell="I110" sqref="I11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2.4420331441724265E-10</v>
      </c>
      <c r="L103" s="664">
        <f t="shared" ref="L103:L109" si="6">IF(ISBLANK(I103),IF(ISNUMBER(J103)=FALSE,K103,J103),I103)</f>
        <v>2.4420331441724265E-10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1.0375074624009856E-8</v>
      </c>
      <c r="L104" s="664">
        <f t="shared" si="6"/>
        <v>1.0375074624009856E-8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7.0577588290635961E-7</v>
      </c>
      <c r="L105" s="664">
        <f t="shared" si="6"/>
        <v>7.0577588290635961E-7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2.8926235185185191E-10</v>
      </c>
      <c r="L106" s="664">
        <f t="shared" si="6"/>
        <v>2.8926235185185191E-10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>
        <f>8.95*10^-14</f>
        <v>8.9499999999999997E-14</v>
      </c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8.9499999999999997E-14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2.9833333373945953E-12</v>
      </c>
      <c r="L126" s="664">
        <f t="shared" si="7"/>
        <v>2.9833333373945953E-12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2.4420331441724265E-10</v>
      </c>
      <c r="L239" s="664">
        <f t="shared" ref="L239:L245" si="14">IF(ISBLANK(I239),IF(ISNUMBER(J239)=FALSE,K239,J239),I239)</f>
        <v>2.4420331441724265E-10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1.0375944624009857E-8</v>
      </c>
      <c r="L240" s="664">
        <f t="shared" si="14"/>
        <v>1.0375944624009857E-8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7.0577588290635961E-7</v>
      </c>
      <c r="L241" s="664">
        <f t="shared" si="14"/>
        <v>7.0577588290635961E-7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2.892884518518519E-10</v>
      </c>
      <c r="L242" s="664">
        <f t="shared" si="14"/>
        <v>2.892884518518519E-10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>
        <f>6.34*10^-14</f>
        <v>6.34E-14</v>
      </c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2.1133333342172168E-12</v>
      </c>
      <c r="L262" s="664">
        <f t="shared" si="15"/>
        <v>2.1133333342172168E-12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2.4420331441724265E-10</v>
      </c>
      <c r="L375" s="664">
        <f t="shared" ref="L375:L381" si="22">IF(ISBLANK(I375),IF(ISNUMBER(J375)=FALSE,K375,J375),I375)</f>
        <v>2.4420331441724265E-10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1.0375944624009857E-8</v>
      </c>
      <c r="L376" s="664">
        <f t="shared" si="22"/>
        <v>1.0375944624009857E-8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7.0577588290635961E-7</v>
      </c>
      <c r="L377" s="664">
        <f t="shared" si="22"/>
        <v>7.0577588290635961E-7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2.892884518518519E-10</v>
      </c>
      <c r="L378" s="664">
        <f t="shared" si="22"/>
        <v>2.892884518518519E-10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>
        <f>6.34*10^-14</f>
        <v>6.34E-14</v>
      </c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2.1133333433333336E-12</v>
      </c>
      <c r="L398" s="664">
        <f t="shared" si="23"/>
        <v>2.1133333433333336E-12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4" priority="195" operator="equal">
      <formula>0</formula>
    </cfRule>
  </conditionalFormatting>
  <conditionalFormatting sqref="J1 J416:J1048576 J102 J141:J144 J168 J238 J277:J280 J304 J374 J115 J171 J251 J307 J387">
    <cfRule type="expression" dxfId="93" priority="194">
      <formula>"HLOOKUP(CaseName,CaseData,ROW()+682,FALSE)&lt;&gt;"""""</formula>
    </cfRule>
  </conditionalFormatting>
  <conditionalFormatting sqref="I101">
    <cfRule type="cellIs" dxfId="92" priority="167" operator="equal">
      <formula>0</formula>
    </cfRule>
  </conditionalFormatting>
  <conditionalFormatting sqref="I119">
    <cfRule type="cellIs" dxfId="91" priority="166" operator="equal">
      <formula>0</formula>
    </cfRule>
  </conditionalFormatting>
  <conditionalFormatting sqref="I140">
    <cfRule type="cellIs" dxfId="90" priority="165" operator="equal">
      <formula>0</formula>
    </cfRule>
  </conditionalFormatting>
  <conditionalFormatting sqref="I373">
    <cfRule type="cellIs" dxfId="89" priority="161" operator="equal">
      <formula>0</formula>
    </cfRule>
  </conditionalFormatting>
  <conditionalFormatting sqref="I255">
    <cfRule type="cellIs" dxfId="88" priority="163" operator="equal">
      <formula>0</formula>
    </cfRule>
  </conditionalFormatting>
  <conditionalFormatting sqref="I276">
    <cfRule type="cellIs" dxfId="87" priority="162" operator="equal">
      <formula>0</formula>
    </cfRule>
  </conditionalFormatting>
  <conditionalFormatting sqref="I391">
    <cfRule type="cellIs" dxfId="86" priority="160" operator="equal">
      <formula>0</formula>
    </cfRule>
  </conditionalFormatting>
  <conditionalFormatting sqref="I412">
    <cfRule type="cellIs" dxfId="85" priority="159" operator="equal">
      <formula>0</formula>
    </cfRule>
  </conditionalFormatting>
  <conditionalFormatting sqref="I18:I19">
    <cfRule type="cellIs" dxfId="84" priority="158" operator="equal">
      <formula>0</formula>
    </cfRule>
  </conditionalFormatting>
  <conditionalFormatting sqref="I46">
    <cfRule type="cellIs" dxfId="83" priority="157" operator="equal">
      <formula>0</formula>
    </cfRule>
  </conditionalFormatting>
  <conditionalFormatting sqref="I48">
    <cfRule type="cellIs" dxfId="82" priority="156" operator="equal">
      <formula>0</formula>
    </cfRule>
  </conditionalFormatting>
  <conditionalFormatting sqref="I53:I54">
    <cfRule type="cellIs" dxfId="81" priority="155" operator="equal">
      <formula>0</formula>
    </cfRule>
  </conditionalFormatting>
  <conditionalFormatting sqref="I161:I162">
    <cfRule type="cellIs" dxfId="80" priority="152" operator="equal">
      <formula>0</formula>
    </cfRule>
  </conditionalFormatting>
  <conditionalFormatting sqref="I87:I88">
    <cfRule type="cellIs" dxfId="79" priority="153" operator="equal">
      <formula>0</formula>
    </cfRule>
  </conditionalFormatting>
  <conditionalFormatting sqref="I182:I184">
    <cfRule type="cellIs" dxfId="78" priority="151" operator="equal">
      <formula>0</formula>
    </cfRule>
  </conditionalFormatting>
  <conditionalFormatting sqref="I189:I190">
    <cfRule type="cellIs" dxfId="77" priority="149" operator="equal">
      <formula>0</formula>
    </cfRule>
  </conditionalFormatting>
  <conditionalFormatting sqref="I318">
    <cfRule type="cellIs" dxfId="76" priority="145" operator="equal">
      <formula>0</formula>
    </cfRule>
  </conditionalFormatting>
  <conditionalFormatting sqref="I320">
    <cfRule type="cellIs" dxfId="75" priority="144" operator="equal">
      <formula>0</formula>
    </cfRule>
  </conditionalFormatting>
  <conditionalFormatting sqref="I297:I298">
    <cfRule type="cellIs" dxfId="74" priority="146" operator="equal">
      <formula>0</formula>
    </cfRule>
  </conditionalFormatting>
  <conditionalFormatting sqref="I325:I326">
    <cfRule type="cellIs" dxfId="73" priority="143" operator="equal">
      <formula>0</formula>
    </cfRule>
  </conditionalFormatting>
  <conditionalFormatting sqref="K101">
    <cfRule type="cellIs" dxfId="72" priority="140" operator="equal">
      <formula>0</formula>
    </cfRule>
  </conditionalFormatting>
  <conditionalFormatting sqref="K119">
    <cfRule type="cellIs" dxfId="71" priority="139" operator="equal">
      <formula>0</formula>
    </cfRule>
  </conditionalFormatting>
  <conditionalFormatting sqref="K140">
    <cfRule type="cellIs" dxfId="70" priority="138" operator="equal">
      <formula>0</formula>
    </cfRule>
  </conditionalFormatting>
  <conditionalFormatting sqref="K237">
    <cfRule type="cellIs" dxfId="69" priority="137" operator="equal">
      <formula>0</formula>
    </cfRule>
  </conditionalFormatting>
  <conditionalFormatting sqref="K255">
    <cfRule type="cellIs" dxfId="68" priority="136" operator="equal">
      <formula>0</formula>
    </cfRule>
  </conditionalFormatting>
  <conditionalFormatting sqref="K276">
    <cfRule type="cellIs" dxfId="67" priority="135" operator="equal">
      <formula>0</formula>
    </cfRule>
  </conditionalFormatting>
  <conditionalFormatting sqref="K373">
    <cfRule type="cellIs" dxfId="66" priority="134" operator="equal">
      <formula>0</formula>
    </cfRule>
  </conditionalFormatting>
  <conditionalFormatting sqref="K391">
    <cfRule type="cellIs" dxfId="65" priority="133" operator="equal">
      <formula>0</formula>
    </cfRule>
  </conditionalFormatting>
  <conditionalFormatting sqref="K412">
    <cfRule type="cellIs" dxfId="64" priority="132" operator="equal">
      <formula>0</formula>
    </cfRule>
  </conditionalFormatting>
  <conditionalFormatting sqref="I239:I240">
    <cfRule type="cellIs" dxfId="63" priority="78" operator="equal">
      <formula>0</formula>
    </cfRule>
  </conditionalFormatting>
  <conditionalFormatting sqref="I348">
    <cfRule type="cellIs" dxfId="62" priority="77" operator="equal">
      <formula>0</formula>
    </cfRule>
  </conditionalFormatting>
  <conditionalFormatting sqref="I375:I376">
    <cfRule type="cellIs" dxfId="61" priority="76" operator="equal">
      <formula>0</formula>
    </cfRule>
  </conditionalFormatting>
  <conditionalFormatting sqref="K76:K79">
    <cfRule type="cellIs" dxfId="60" priority="75" operator="equal">
      <formula>0</formula>
    </cfRule>
  </conditionalFormatting>
  <conditionalFormatting sqref="K76:K79">
    <cfRule type="cellIs" dxfId="59" priority="74" operator="equal">
      <formula>0</formula>
    </cfRule>
  </conditionalFormatting>
  <conditionalFormatting sqref="K82:K83">
    <cfRule type="cellIs" dxfId="58" priority="71" operator="equal">
      <formula>0</formula>
    </cfRule>
  </conditionalFormatting>
  <conditionalFormatting sqref="K92:K95">
    <cfRule type="cellIs" dxfId="57" priority="70" operator="equal">
      <formula>0</formula>
    </cfRule>
  </conditionalFormatting>
  <conditionalFormatting sqref="K103:K105">
    <cfRule type="cellIs" dxfId="56" priority="68" operator="equal">
      <formula>0</formula>
    </cfRule>
  </conditionalFormatting>
  <conditionalFormatting sqref="K111:K112">
    <cfRule type="cellIs" dxfId="55" priority="66" operator="equal">
      <formula>0</formula>
    </cfRule>
  </conditionalFormatting>
  <conditionalFormatting sqref="K352">
    <cfRule type="cellIs" dxfId="54" priority="56" operator="equal">
      <formula>0</formula>
    </cfRule>
  </conditionalFormatting>
  <conditionalFormatting sqref="K354:K355">
    <cfRule type="cellIs" dxfId="53" priority="55" operator="equal">
      <formula>0</formula>
    </cfRule>
  </conditionalFormatting>
  <conditionalFormatting sqref="K364:K367">
    <cfRule type="cellIs" dxfId="52" priority="54" operator="equal">
      <formula>0</formula>
    </cfRule>
  </conditionalFormatting>
  <conditionalFormatting sqref="K228:K231 K218:K219 K212:K216">
    <cfRule type="cellIs" dxfId="51" priority="51" operator="equal">
      <formula>0</formula>
    </cfRule>
  </conditionalFormatting>
  <conditionalFormatting sqref="K239:K240">
    <cfRule type="cellIs" dxfId="50" priority="49" operator="equal">
      <formula>0</formula>
    </cfRule>
  </conditionalFormatting>
  <conditionalFormatting sqref="K348:K351">
    <cfRule type="cellIs" dxfId="49" priority="48" operator="equal">
      <formula>0</formula>
    </cfRule>
  </conditionalFormatting>
  <conditionalFormatting sqref="K375:K376">
    <cfRule type="cellIs" dxfId="48" priority="47" operator="equal">
      <formula>0</formula>
    </cfRule>
  </conditionalFormatting>
  <conditionalFormatting sqref="J414">
    <cfRule type="cellIs" dxfId="47" priority="39" operator="equal">
      <formula>0</formula>
    </cfRule>
  </conditionalFormatting>
  <conditionalFormatting sqref="J102 J141:J144 J168 J238 J277:J280 J304 J374 J115 J171 J251 J307 J387">
    <cfRule type="cellIs" dxfId="46" priority="40" operator="notEqual">
      <formula>""""""</formula>
    </cfRule>
  </conditionalFormatting>
  <conditionalFormatting sqref="I253:I254 K253:L254">
    <cfRule type="cellIs" dxfId="45" priority="38" operator="equal">
      <formula>0</formula>
    </cfRule>
  </conditionalFormatting>
  <conditionalFormatting sqref="I389:I390 K389:L390">
    <cfRule type="cellIs" dxfId="44" priority="35" operator="equal">
      <formula>0</formula>
    </cfRule>
  </conditionalFormatting>
  <conditionalFormatting sqref="L241">
    <cfRule type="cellIs" dxfId="43" priority="26" operator="equal">
      <formula>0</formula>
    </cfRule>
  </conditionalFormatting>
  <conditionalFormatting sqref="K241">
    <cfRule type="cellIs" dxfId="42" priority="25" operator="equal">
      <formula>0</formula>
    </cfRule>
  </conditionalFormatting>
  <conditionalFormatting sqref="L377">
    <cfRule type="cellIs" dxfId="41" priority="24" operator="equal">
      <formula>0</formula>
    </cfRule>
  </conditionalFormatting>
  <conditionalFormatting sqref="K377">
    <cfRule type="cellIs" dxfId="40" priority="23" operator="equal">
      <formula>0</formula>
    </cfRule>
  </conditionalFormatting>
  <conditionalFormatting sqref="J5:J42">
    <cfRule type="expression" dxfId="39" priority="22">
      <formula>"HLOOKUP(CaseName,CaseData,ROW()+157,FALSE)&lt;&gt;"""""</formula>
    </cfRule>
  </conditionalFormatting>
  <conditionalFormatting sqref="J46:J72">
    <cfRule type="expression" dxfId="38" priority="21">
      <formula>"HLOOKUP(CaseName,CaseData,ROW()+157,FALSE)&lt;&gt;"""""</formula>
    </cfRule>
  </conditionalFormatting>
  <conditionalFormatting sqref="J76:J101">
    <cfRule type="expression" dxfId="37" priority="20">
      <formula>"HLOOKUP(CaseName,CaseData,ROW()+157,FALSE)&lt;&gt;"""""</formula>
    </cfRule>
  </conditionalFormatting>
  <conditionalFormatting sqref="J103:J114">
    <cfRule type="expression" dxfId="36" priority="19">
      <formula>"HLOOKUP(CaseName,CaseData,ROW()+157,FALSE)&lt;&gt;"""""</formula>
    </cfRule>
  </conditionalFormatting>
  <conditionalFormatting sqref="J116:J119">
    <cfRule type="expression" dxfId="35" priority="18">
      <formula>"HLOOKUP(CaseName,CaseData,ROW()+157,FALSE)&lt;&gt;"""""</formula>
    </cfRule>
  </conditionalFormatting>
  <conditionalFormatting sqref="J123:J140">
    <cfRule type="expression" dxfId="34" priority="17">
      <formula>"HLOOKUP(CaseName,CaseData,ROW()+157,FALSE)&lt;&gt;"""""</formula>
    </cfRule>
  </conditionalFormatting>
  <conditionalFormatting sqref="J148:J167">
    <cfRule type="expression" dxfId="33" priority="16">
      <formula>"HLOOKUP(CaseName,CaseData,ROW()+157,FALSE)&lt;&gt;"""""</formula>
    </cfRule>
  </conditionalFormatting>
  <conditionalFormatting sqref="J169:J170">
    <cfRule type="expression" dxfId="32" priority="15">
      <formula>"HLOOKUP(CaseName,CaseData,ROW()+157,FALSE)&lt;&gt;"""""</formula>
    </cfRule>
  </conditionalFormatting>
  <conditionalFormatting sqref="J172:J178">
    <cfRule type="expression" dxfId="31" priority="14">
      <formula>"HLOOKUP(CaseName,CaseData,ROW()+157,FALSE)&lt;&gt;"""""</formula>
    </cfRule>
  </conditionalFormatting>
  <conditionalFormatting sqref="J182:J208">
    <cfRule type="expression" dxfId="30" priority="13">
      <formula>"HLOOKUP(CaseName,CaseData,ROW()+157,FALSE)&lt;&gt;"""""</formula>
    </cfRule>
  </conditionalFormatting>
  <conditionalFormatting sqref="J212:J237">
    <cfRule type="expression" dxfId="29" priority="12">
      <formula>"HLOOKUP(CaseName,CaseData,ROW()+157,FALSE)&lt;&gt;"""""</formula>
    </cfRule>
  </conditionalFormatting>
  <conditionalFormatting sqref="J239:J250">
    <cfRule type="expression" dxfId="28" priority="11">
      <formula>"HLOOKUP(CaseName,CaseData,ROW()+157,FALSE)&lt;&gt;"""""</formula>
    </cfRule>
  </conditionalFormatting>
  <conditionalFormatting sqref="J252:J255">
    <cfRule type="expression" dxfId="27" priority="10">
      <formula>"HLOOKUP(CaseName,CaseData,ROW()+157,FALSE)&lt;&gt;"""""</formula>
    </cfRule>
  </conditionalFormatting>
  <conditionalFormatting sqref="J259:J276">
    <cfRule type="expression" dxfId="26" priority="9">
      <formula>"HLOOKUP(CaseName,CaseData,ROW()+157,FALSE)&lt;&gt;"""""</formula>
    </cfRule>
  </conditionalFormatting>
  <conditionalFormatting sqref="J284:J303">
    <cfRule type="expression" dxfId="25" priority="8">
      <formula>"HLOOKUP(CaseName,CaseData,ROW()+157,FALSE)&lt;&gt;"""""</formula>
    </cfRule>
  </conditionalFormatting>
  <conditionalFormatting sqref="J305:J306">
    <cfRule type="expression" dxfId="24" priority="7">
      <formula>"HLOOKUP(CaseName,CaseData,ROW()+157,FALSE)&lt;&gt;"""""</formula>
    </cfRule>
  </conditionalFormatting>
  <conditionalFormatting sqref="J308:J314">
    <cfRule type="expression" dxfId="23" priority="6">
      <formula>"HLOOKUP(CaseName,CaseData,ROW()+157,FALSE)&lt;&gt;"""""</formula>
    </cfRule>
  </conditionalFormatting>
  <conditionalFormatting sqref="J318:J344">
    <cfRule type="expression" dxfId="22" priority="5">
      <formula>"HLOOKUP(CaseName,CaseData,ROW()+157,FALSE)&lt;&gt;"""""</formula>
    </cfRule>
  </conditionalFormatting>
  <conditionalFormatting sqref="J348:J373">
    <cfRule type="expression" dxfId="21" priority="4">
      <formula>"HLOOKUP(CaseName,CaseData,ROW()+157,FALSE)&lt;&gt;"""""</formula>
    </cfRule>
  </conditionalFormatting>
  <conditionalFormatting sqref="J375:J386">
    <cfRule type="expression" dxfId="20" priority="3">
      <formula>"HLOOKUP(CaseName,CaseData,ROW()+157,FALSE)&lt;&gt;"""""</formula>
    </cfRule>
  </conditionalFormatting>
  <conditionalFormatting sqref="J388:J391">
    <cfRule type="expression" dxfId="19" priority="2">
      <formula>"HLOOKUP(CaseName,CaseData,ROW()+157,FALSE)&lt;&gt;"""""</formula>
    </cfRule>
  </conditionalFormatting>
  <conditionalFormatting sqref="J395:J412">
    <cfRule type="expression" dxfId="18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2.6774848080799986E-8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9.4647246240098576E-9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-1.0378057957347253E-8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2.6794848080799985E-8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9.4647246240098576E-9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-1.0378057957347253E-8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1.0375074624009856E-8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1.0375944624009857E-8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-1.0378057957344075E-8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1.0375944624009857E-8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-1.037805795735319E-8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8630881290967.4414</v>
      </c>
      <c r="D45" s="370">
        <f t="array" ref="D45:AJ45">TRANSPOSE(MMULT(MINVERSE(D9:AJ41),-TRANSPOSE(D5:AJ5)))</f>
        <v>162898.24261491038</v>
      </c>
      <c r="E45" s="370">
        <v>128556537.50908683</v>
      </c>
      <c r="F45" s="370">
        <v>45308535.654054955</v>
      </c>
      <c r="G45" s="370">
        <v>2545802.8275364079</v>
      </c>
      <c r="H45" s="370">
        <v>1040697098.0544603</v>
      </c>
      <c r="I45" s="370">
        <v>17971382.243930653</v>
      </c>
      <c r="J45" s="370">
        <v>2530387099.5084152</v>
      </c>
      <c r="K45" s="370">
        <v>60522476535.361671</v>
      </c>
      <c r="L45" s="370">
        <v>937180407.2253387</v>
      </c>
      <c r="M45" s="370">
        <v>162211.92794600641</v>
      </c>
      <c r="N45" s="370">
        <v>21178203.252265774</v>
      </c>
      <c r="O45" s="370">
        <v>4394304.6145569496</v>
      </c>
      <c r="P45" s="370">
        <v>12500836785.328892</v>
      </c>
      <c r="Q45" s="370">
        <v>100933300.85205387</v>
      </c>
      <c r="R45" s="370">
        <v>4412307854.4841061</v>
      </c>
      <c r="S45" s="370">
        <v>1391591051.6064494</v>
      </c>
      <c r="T45" s="370">
        <v>6795727472.6056948</v>
      </c>
      <c r="U45" s="370">
        <v>515404093.18757379</v>
      </c>
      <c r="V45" s="370">
        <v>24870.672476120351</v>
      </c>
      <c r="W45" s="370">
        <v>65247464552.341766</v>
      </c>
      <c r="X45" s="370">
        <v>1957403845075.9836</v>
      </c>
      <c r="Y45" s="370">
        <v>46059147923.933311</v>
      </c>
      <c r="Z45" s="370">
        <v>827676349.65877736</v>
      </c>
      <c r="AA45" s="370">
        <v>1083.177873257066</v>
      </c>
      <c r="AB45" s="370">
        <v>52268266816.034325</v>
      </c>
      <c r="AC45" s="370">
        <v>1286901037556.116</v>
      </c>
      <c r="AD45" s="370">
        <v>30281725154.15572</v>
      </c>
      <c r="AE45" s="370">
        <v>59910149.718786396</v>
      </c>
      <c r="AF45" s="370">
        <v>1925.2052817534773</v>
      </c>
      <c r="AG45" s="370">
        <v>150126818340.07028</v>
      </c>
      <c r="AH45" s="370">
        <v>4836898420999.3193</v>
      </c>
      <c r="AI45" s="370">
        <v>113815766953.84055</v>
      </c>
      <c r="AJ45" s="371">
        <v>23361642.725580592</v>
      </c>
    </row>
    <row r="46" spans="1:36" ht="12.75" customHeight="1" x14ac:dyDescent="0.2">
      <c r="B46" s="255" t="s">
        <v>2410</v>
      </c>
      <c r="C46" s="531">
        <f>SUM(D46:AJ46)</f>
        <v>16979577409566.541</v>
      </c>
      <c r="D46" s="383">
        <f>D45</f>
        <v>162898.24261491038</v>
      </c>
      <c r="E46" s="383"/>
      <c r="F46" s="383">
        <f t="shared" ref="F46:AJ46" si="0">F45</f>
        <v>45308535.654054955</v>
      </c>
      <c r="G46" s="383">
        <f t="shared" si="0"/>
        <v>2545802.8275364079</v>
      </c>
      <c r="H46" s="383">
        <f t="shared" si="0"/>
        <v>1040697098.0544603</v>
      </c>
      <c r="I46" s="383">
        <f t="shared" si="0"/>
        <v>17971382.243930653</v>
      </c>
      <c r="J46" s="383">
        <f t="shared" si="0"/>
        <v>2530387099.5084152</v>
      </c>
      <c r="K46" s="383">
        <f t="shared" si="0"/>
        <v>60522476535.361671</v>
      </c>
      <c r="L46" s="383">
        <f t="shared" si="0"/>
        <v>937180407.2253387</v>
      </c>
      <c r="M46" s="383">
        <f t="shared" si="0"/>
        <v>162211.92794600641</v>
      </c>
      <c r="N46" s="383"/>
      <c r="O46" s="383">
        <f t="shared" si="0"/>
        <v>4394304.6145569496</v>
      </c>
      <c r="P46" s="383">
        <f t="shared" si="0"/>
        <v>12500836785.328892</v>
      </c>
      <c r="Q46" s="383">
        <f t="shared" si="0"/>
        <v>100933300.85205387</v>
      </c>
      <c r="R46" s="383">
        <f t="shared" si="0"/>
        <v>4412307854.4841061</v>
      </c>
      <c r="S46" s="383">
        <f t="shared" si="0"/>
        <v>1391591051.6064494</v>
      </c>
      <c r="T46" s="383">
        <f t="shared" si="0"/>
        <v>6795727472.6056948</v>
      </c>
      <c r="U46" s="383">
        <f t="shared" si="0"/>
        <v>515404093.18757379</v>
      </c>
      <c r="V46" s="383">
        <f t="shared" si="0"/>
        <v>24870.672476120351</v>
      </c>
      <c r="W46" s="383">
        <f>SUM(W45:X45)</f>
        <v>2022651309628.3254</v>
      </c>
      <c r="X46" s="383">
        <f>SUM(W45:X45)</f>
        <v>2022651309628.3254</v>
      </c>
      <c r="Y46" s="383">
        <f t="shared" si="0"/>
        <v>46059147923.933311</v>
      </c>
      <c r="Z46" s="383">
        <f t="shared" si="0"/>
        <v>827676349.65877736</v>
      </c>
      <c r="AA46" s="383">
        <f t="shared" si="0"/>
        <v>1083.177873257066</v>
      </c>
      <c r="AB46" s="383">
        <f>SUM(AB45:AC45)</f>
        <v>1339169304372.1504</v>
      </c>
      <c r="AC46" s="383">
        <f>SUM(AB45:AC45)</f>
        <v>1339169304372.1504</v>
      </c>
      <c r="AD46" s="383">
        <f t="shared" si="0"/>
        <v>30281725154.15572</v>
      </c>
      <c r="AE46" s="383">
        <f t="shared" si="0"/>
        <v>59910149.718786396</v>
      </c>
      <c r="AF46" s="383">
        <f t="shared" si="0"/>
        <v>1925.2052817534773</v>
      </c>
      <c r="AG46" s="383">
        <f>SUM(AG45:AH45)</f>
        <v>4987025239339.3896</v>
      </c>
      <c r="AH46" s="383">
        <f>SUM(AG45:AH45)</f>
        <v>4987025239339.3896</v>
      </c>
      <c r="AI46" s="383">
        <f t="shared" si="0"/>
        <v>113815766953.84055</v>
      </c>
      <c r="AJ46" s="384">
        <f t="shared" si="0"/>
        <v>23361642.725580592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8.5295550136495137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>
        <f t="shared" si="1"/>
        <v>3.8081039248732544</v>
      </c>
      <c r="I48" s="515" t="str">
        <f t="shared" si="1"/>
        <v/>
      </c>
      <c r="J48" s="515">
        <f t="shared" si="1"/>
        <v>6.0470774062530257</v>
      </c>
      <c r="K48" s="515">
        <f t="shared" si="1"/>
        <v>3.4677179296267759</v>
      </c>
      <c r="L48" s="515">
        <f t="shared" si="1"/>
        <v>6.0470774062530257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3.8668309814481638</v>
      </c>
      <c r="Q48" s="515" t="str">
        <f t="shared" si="1"/>
        <v/>
      </c>
      <c r="R48" s="515">
        <f t="shared" si="1"/>
        <v>6.1663201528684963</v>
      </c>
      <c r="S48" s="515">
        <f t="shared" si="1"/>
        <v>5.3328603185709778</v>
      </c>
      <c r="T48" s="515">
        <f t="shared" si="1"/>
        <v>5.2346875212231936</v>
      </c>
      <c r="U48" s="515" t="str">
        <f t="shared" si="1"/>
        <v/>
      </c>
      <c r="V48" s="515" t="str">
        <f t="shared" si="1"/>
        <v/>
      </c>
      <c r="W48" s="515">
        <f t="shared" si="1"/>
        <v>5.6562170791623769</v>
      </c>
      <c r="X48" s="515">
        <f t="shared" si="1"/>
        <v>5.6562170791623769</v>
      </c>
      <c r="Y48" s="515">
        <f t="shared" si="1"/>
        <v>7.4661080821470325</v>
      </c>
      <c r="Z48" s="515" t="str">
        <f t="shared" si="1"/>
        <v/>
      </c>
      <c r="AA48" s="515" t="str">
        <f t="shared" si="1"/>
        <v/>
      </c>
      <c r="AB48" s="515">
        <f t="shared" si="1"/>
        <v>4.8209869019596017</v>
      </c>
      <c r="AC48" s="515">
        <f t="shared" si="1"/>
        <v>4.8209869019596017</v>
      </c>
      <c r="AD48" s="515">
        <f t="shared" si="1"/>
        <v>6.5907631473045258</v>
      </c>
      <c r="AE48" s="515" t="str">
        <f t="shared" si="1"/>
        <v/>
      </c>
      <c r="AF48" s="515" t="str">
        <f t="shared" si="1"/>
        <v/>
      </c>
      <c r="AG48" s="515">
        <f t="shared" si="1"/>
        <v>6.656364427150403</v>
      </c>
      <c r="AH48" s="515">
        <f t="shared" si="1"/>
        <v>6.656364427150403</v>
      </c>
      <c r="AI48" s="515">
        <f t="shared" si="1"/>
        <v>8.5295550136495137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0.99999999999999978</v>
      </c>
      <c r="D49" s="151">
        <f t="shared" ref="D49:AJ49" si="2">D45/SUM($D45:$AJ45)</f>
        <v>1.8873882877451905E-8</v>
      </c>
      <c r="E49" s="151">
        <f t="shared" si="2"/>
        <v>1.48949490990713E-5</v>
      </c>
      <c r="F49" s="151">
        <f t="shared" si="2"/>
        <v>5.2495839215715E-6</v>
      </c>
      <c r="G49" s="151">
        <f t="shared" si="2"/>
        <v>2.9496441229016686E-7</v>
      </c>
      <c r="H49" s="151">
        <f t="shared" si="2"/>
        <v>1.205783121062725E-4</v>
      </c>
      <c r="I49" s="151">
        <f t="shared" si="2"/>
        <v>2.0822186794225075E-6</v>
      </c>
      <c r="J49" s="151">
        <f t="shared" si="2"/>
        <v>2.9317829943467828E-4</v>
      </c>
      <c r="K49" s="151">
        <f t="shared" si="2"/>
        <v>7.0123171081846345E-3</v>
      </c>
      <c r="L49" s="151">
        <f t="shared" si="2"/>
        <v>1.0858455534617711E-4</v>
      </c>
      <c r="M49" s="151">
        <f t="shared" si="2"/>
        <v>1.8794364384986688E-8</v>
      </c>
      <c r="N49" s="151">
        <f t="shared" si="2"/>
        <v>2.4537706565874796E-6</v>
      </c>
      <c r="O49" s="151">
        <f t="shared" si="2"/>
        <v>5.0913741788521213E-7</v>
      </c>
      <c r="P49" s="151">
        <f t="shared" si="2"/>
        <v>1.4483847435616468E-3</v>
      </c>
      <c r="Q49" s="151">
        <f t="shared" si="2"/>
        <v>1.1694437387023798E-5</v>
      </c>
      <c r="R49" s="151">
        <f t="shared" si="2"/>
        <v>5.1122332769212809E-4</v>
      </c>
      <c r="S49" s="151">
        <f t="shared" si="2"/>
        <v>1.6123394641782461E-4</v>
      </c>
      <c r="T49" s="151">
        <f t="shared" si="2"/>
        <v>7.8737353040849866E-4</v>
      </c>
      <c r="U49" s="151">
        <f t="shared" si="2"/>
        <v>5.9716276451046146E-5</v>
      </c>
      <c r="V49" s="151">
        <f t="shared" si="2"/>
        <v>2.8815913042563213E-9</v>
      </c>
      <c r="W49" s="151">
        <f t="shared" si="2"/>
        <v>7.5597685048253201E-3</v>
      </c>
      <c r="X49" s="151">
        <f t="shared" si="2"/>
        <v>0.22679072728349123</v>
      </c>
      <c r="Y49" s="151">
        <f t="shared" si="2"/>
        <v>5.3365521284756898E-3</v>
      </c>
      <c r="Z49" s="151">
        <f t="shared" si="2"/>
        <v>9.5897084174355793E-5</v>
      </c>
      <c r="AA49" s="151">
        <f t="shared" si="2"/>
        <v>1.2550026315280857E-10</v>
      </c>
      <c r="AB49" s="151">
        <f t="shared" si="2"/>
        <v>6.0559594152610041E-3</v>
      </c>
      <c r="AC49" s="151">
        <f t="shared" si="2"/>
        <v>0.14910424488202714</v>
      </c>
      <c r="AD49" s="151">
        <f t="shared" si="2"/>
        <v>3.5085322266970283E-3</v>
      </c>
      <c r="AE49" s="151">
        <f t="shared" si="2"/>
        <v>6.9413710719767094E-6</v>
      </c>
      <c r="AF49" s="151">
        <f t="shared" si="2"/>
        <v>2.2306010439145776E-10</v>
      </c>
      <c r="AG49" s="151">
        <f t="shared" si="2"/>
        <v>1.7394147049291934E-2</v>
      </c>
      <c r="AH49" s="151">
        <f t="shared" si="2"/>
        <v>0.56041767438758827</v>
      </c>
      <c r="AI49" s="151">
        <f t="shared" si="2"/>
        <v>1.3187038856965075E-2</v>
      </c>
      <c r="AJ49" s="253">
        <f t="shared" si="2"/>
        <v>2.7067505551292284E-6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7.0957983453809463E-10</v>
      </c>
      <c r="E50" s="179">
        <f t="shared" si="3"/>
        <v>2.2497534673681908E-3</v>
      </c>
      <c r="F50" s="179">
        <f t="shared" si="3"/>
        <v>2.4027403927212778E-3</v>
      </c>
      <c r="G50" s="179">
        <f t="shared" si="3"/>
        <v>2.5458028275364051E-4</v>
      </c>
      <c r="H50" s="179">
        <f t="shared" si="3"/>
        <v>5.518882740275628</v>
      </c>
      <c r="I50" s="179">
        <f t="shared" si="3"/>
        <v>0.59904607479768779</v>
      </c>
      <c r="J50" s="179">
        <f t="shared" si="3"/>
        <v>0.82003798155955621</v>
      </c>
      <c r="K50" s="179">
        <f t="shared" si="3"/>
        <v>2.2065624147001528</v>
      </c>
      <c r="L50" s="179">
        <f t="shared" si="3"/>
        <v>0.8200379815595561</v>
      </c>
      <c r="M50" s="179">
        <f t="shared" si="3"/>
        <v>2.2531781497517992E-11</v>
      </c>
      <c r="N50" s="179">
        <f t="shared" si="3"/>
        <v>2.430197972628207E-5</v>
      </c>
      <c r="O50" s="179">
        <f t="shared" si="3"/>
        <v>1.5280190243460988E-5</v>
      </c>
      <c r="P50" s="179">
        <f t="shared" si="3"/>
        <v>1.6832017990645917E-5</v>
      </c>
      <c r="Q50" s="179">
        <f t="shared" si="3"/>
        <v>3.5097249148608803E-2</v>
      </c>
      <c r="R50" s="179">
        <f t="shared" si="3"/>
        <v>3.9606972697009898E-2</v>
      </c>
      <c r="S50" s="179">
        <f t="shared" si="3"/>
        <v>2.9571299496682215E-2</v>
      </c>
      <c r="T50" s="179">
        <f t="shared" si="3"/>
        <v>1.624603030308738E-2</v>
      </c>
      <c r="U50" s="179">
        <f t="shared" si="3"/>
        <v>2.9571299496682222E-2</v>
      </c>
      <c r="V50" s="179">
        <f t="shared" si="3"/>
        <v>3.2061743132076053E-13</v>
      </c>
      <c r="W50" s="179">
        <f t="shared" si="3"/>
        <v>1.6822604619999791E-5</v>
      </c>
      <c r="X50" s="179">
        <f t="shared" si="3"/>
        <v>1.6822431948531948E-5</v>
      </c>
      <c r="Y50" s="179">
        <f t="shared" si="3"/>
        <v>3.9584416036929616E-2</v>
      </c>
      <c r="Z50" s="179">
        <f t="shared" si="3"/>
        <v>4.2679580207947195E-4</v>
      </c>
      <c r="AA50" s="179">
        <f t="shared" si="3"/>
        <v>2.5486538194283906E-14</v>
      </c>
      <c r="AB50" s="179">
        <f t="shared" si="3"/>
        <v>2.0497359535699736E-5</v>
      </c>
      <c r="AC50" s="179">
        <f t="shared" si="3"/>
        <v>1.6822235785047268E-5</v>
      </c>
      <c r="AD50" s="179">
        <f t="shared" si="3"/>
        <v>3.9583954449876758E-2</v>
      </c>
      <c r="AE50" s="179">
        <f t="shared" si="3"/>
        <v>7.0482529080925169E-5</v>
      </c>
      <c r="AF50" s="179">
        <f t="shared" si="3"/>
        <v>1.5099649268654722E-14</v>
      </c>
      <c r="AG50" s="179">
        <f t="shared" si="3"/>
        <v>1.6820932026898633E-5</v>
      </c>
      <c r="AH50" s="179">
        <f t="shared" si="3"/>
        <v>1.8064980097102969E-5</v>
      </c>
      <c r="AI50" s="179">
        <f t="shared" si="3"/>
        <v>4.2508222951947915E-2</v>
      </c>
      <c r="AJ50" s="380">
        <f t="shared" si="3"/>
        <v>1.2215238026447366E-5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1.6813423221396697E-6</v>
      </c>
      <c r="E51" s="385">
        <f>E50*Kaw.R*8.314*TEMP.R</f>
        <v>2.0359240370411098E-20</v>
      </c>
      <c r="F51" s="385">
        <f>F50*Kaw.R*8.314*TEMP.R</f>
        <v>2.1743702104539364E-20</v>
      </c>
      <c r="G51" s="385">
        <f>G50*Kaw.R*8.314*TEMP.R</f>
        <v>2.3038351736432016E-21</v>
      </c>
      <c r="H51" s="385">
        <f>H50*Kaw.R/Ksdw1.R*8.314*TEMP.R</f>
        <v>3.9929137957853205E-20</v>
      </c>
      <c r="I51" s="385">
        <f>I50*Kaw.R/Ksdw2.R*8.314*TEMP.R</f>
        <v>4.3341006666346977E-21</v>
      </c>
      <c r="J51" s="385">
        <f>J50*Kaw.R/Ks1w.R*8.314*TEMP.R</f>
        <v>4.9466530063892188E-21</v>
      </c>
      <c r="K51" s="385">
        <f>K50*Kaw.R/Ks2w.R*8.314*TEMP.R</f>
        <v>1.331047932890075E-20</v>
      </c>
      <c r="L51" s="385">
        <f>L50*Kaw.R/Ks3w.R*8.314*TEMP.R</f>
        <v>4.9466530063892188E-21</v>
      </c>
      <c r="M51" s="385">
        <f>M50*8.314*TEMP.C</f>
        <v>5.3388830940553909E-8</v>
      </c>
      <c r="N51" s="385">
        <f>N50*Kaw.C*8.314*TEMP.C</f>
        <v>2.199218065004368E-22</v>
      </c>
      <c r="O51" s="385">
        <f>O50*Kaw.C*8.314*TEMP.C</f>
        <v>1.3827873613021074E-22</v>
      </c>
      <c r="P51" s="385">
        <f>P50*Kaw.C*8.314*TEMP.C</f>
        <v>1.5232206780040077E-22</v>
      </c>
      <c r="Q51" s="385">
        <f>Q50*Kaw.C/Ksdw1.C*8.314*TEMP.C</f>
        <v>2.5392873325044714E-22</v>
      </c>
      <c r="R51" s="385">
        <f>R50*Kaw.C/Ksdw2.C*8.314*TEMP.C</f>
        <v>2.8655660055441772E-22</v>
      </c>
      <c r="S51" s="385">
        <f>S50*Kaw.C/Ks1w.C*8.314*TEMP.C</f>
        <v>1.7838071022015879E-22</v>
      </c>
      <c r="T51" s="385">
        <f>T50*Kaw.C/Ks2w.C*8.314*TEMP.C</f>
        <v>9.7999698121081539E-23</v>
      </c>
      <c r="U51" s="385">
        <f>U50*Kaw.C/Ks3w.C*8.314*TEMP.C</f>
        <v>1.7838071022015882E-22</v>
      </c>
      <c r="V51" s="385">
        <f>V50*8.314*TEMP.M</f>
        <v>7.5969979734022877E-10</v>
      </c>
      <c r="W51" s="385">
        <f>W50*Kaw.M*8.314*TEMP.M</f>
        <v>1.5223688109951995E-22</v>
      </c>
      <c r="X51" s="385">
        <f>X50*Kaw.M*8.314*TEMP.M</f>
        <v>1.5223531850167538E-22</v>
      </c>
      <c r="Y51" s="385">
        <f>Y50*Kaw.M/Ksdw.M*8.314*TEMP.M</f>
        <v>2.863934030315494E-22</v>
      </c>
      <c r="Z51" s="372">
        <f>Z50*Kaw.M/Kslw.M*8.314*TEMP.M</f>
        <v>2.5745279913201057E-24</v>
      </c>
      <c r="AA51" s="385">
        <f>AA50*8.314*TEMP.A</f>
        <v>5.5728405657933696E-11</v>
      </c>
      <c r="AB51" s="385">
        <f>AB50*Kaw.A*8.314*TEMP.A</f>
        <v>2.6890699889637326E-23</v>
      </c>
      <c r="AC51" s="385">
        <f>AC50*Kaw.A*8.314*TEMP.A</f>
        <v>2.2069266686792346E-23</v>
      </c>
      <c r="AD51" s="385">
        <f>AD50*Kaw.A/Ksdw.A*8.314*TEMP.A</f>
        <v>4.1517910896436576E-23</v>
      </c>
      <c r="AE51" s="372">
        <f>AE50*Kaw.A/Kslw.A*8.314*TEMP.A</f>
        <v>6.1636292142217877E-26</v>
      </c>
      <c r="AF51" s="385">
        <f>AF50*8.314*TEMP.T</f>
        <v>3.7410468237839418E-11</v>
      </c>
      <c r="AG51" s="385">
        <f>AG50*Kaw.T*8.314*TEMP.T</f>
        <v>4.1675070203747299E-22</v>
      </c>
      <c r="AH51" s="385">
        <f>AH50*Kaw.T*8.314*TEMP.T</f>
        <v>4.4757288869139597E-22</v>
      </c>
      <c r="AI51" s="385">
        <f>AI50*Kaw.T/Ksdw.T*8.314*TEMP.T</f>
        <v>8.4199858454991628E-22</v>
      </c>
      <c r="AJ51" s="386">
        <f>AJ50*Kaw.T/Kslw.T*8.314*TEMP.T</f>
        <v>2.0173398018705005E-25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-2.6042267900016283</v>
      </c>
      <c r="E55" s="370">
        <f t="shared" ref="E55:AJ55" si="4">E9*E$45</f>
        <v>2.3232485030392438E-17</v>
      </c>
      <c r="F55" s="370">
        <f t="shared" si="4"/>
        <v>2.5452838966323342E-16</v>
      </c>
      <c r="G55" s="370">
        <f t="shared" si="4"/>
        <v>4.4997335016916658E-18</v>
      </c>
      <c r="H55" s="389">
        <f t="shared" si="4"/>
        <v>0</v>
      </c>
      <c r="I55" s="389">
        <f t="shared" si="4"/>
        <v>0</v>
      </c>
      <c r="J55" s="370">
        <f t="shared" si="4"/>
        <v>1.7153664729437244E-16</v>
      </c>
      <c r="K55" s="370">
        <f t="shared" si="4"/>
        <v>1.8670235796421942E-15</v>
      </c>
      <c r="L55" s="370">
        <f t="shared" si="4"/>
        <v>6.3532091590508296E-17</v>
      </c>
      <c r="M55" s="370">
        <f t="shared" si="4"/>
        <v>4.8726828896506487E-2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2.783892697056358E-3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2.4921465573137284E-2</v>
      </c>
      <c r="K56" s="376">
        <f t="shared" si="6"/>
        <v>0.27124794962583454</v>
      </c>
      <c r="L56" s="376">
        <f t="shared" si="6"/>
        <v>9.2301724344952887E-3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3.0622819667619944E-2</v>
      </c>
      <c r="E57" s="179">
        <f t="shared" ref="E57:E87" si="7">E11*E$45</f>
        <v>0.30818348033000265</v>
      </c>
      <c r="F57" s="378">
        <f>SUM(D57:E57,G57:AJ57)-SUM(F55:F56,F58:F87)</f>
        <v>-2.6042864638438132</v>
      </c>
      <c r="G57" s="376">
        <f t="shared" ref="G57:AJ57" si="8">G11*G$45</f>
        <v>0</v>
      </c>
      <c r="H57" s="179">
        <f t="shared" si="8"/>
        <v>27.864506698537582</v>
      </c>
      <c r="I57" s="376">
        <f t="shared" si="8"/>
        <v>0</v>
      </c>
      <c r="J57" s="179">
        <f t="shared" si="8"/>
        <v>0.27413612130451021</v>
      </c>
      <c r="K57" s="179">
        <f t="shared" si="8"/>
        <v>2.9837274458841803</v>
      </c>
      <c r="L57" s="179">
        <f t="shared" si="8"/>
        <v>0.10153189677944818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4.8718426688653125E-3</v>
      </c>
      <c r="E58" s="179">
        <f t="shared" si="7"/>
        <v>0</v>
      </c>
      <c r="F58" s="179">
        <f t="shared" ref="F58:F87" si="9">F12*F$45</f>
        <v>3.2914046241011277</v>
      </c>
      <c r="G58" s="378">
        <f>SUM(D58:F58,H58:AJ58)-SUM(G55:G57,G59:G87)</f>
        <v>9.7699626167013776E-15</v>
      </c>
      <c r="H58" s="376">
        <f t="shared" ref="H58:N58" si="10">H12*H$45</f>
        <v>0</v>
      </c>
      <c r="I58" s="179">
        <f t="shared" si="10"/>
        <v>0.17009418405162396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0.20751673303397436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30.875590302246032</v>
      </c>
      <c r="G59" s="376">
        <f t="shared" ref="G59:G87" si="12">G13*G$45</f>
        <v>0</v>
      </c>
      <c r="H59" s="378">
        <f>SUM(D59:G59,I59:AJ59)-SUM(H55:H58,H60:H87)</f>
        <v>3.0110836037084496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0.18650804650115366</v>
      </c>
      <c r="H60" s="376">
        <f t="shared" ref="H60:H87" si="15">H14*H$45</f>
        <v>0</v>
      </c>
      <c r="I60" s="378">
        <f>SUM(D60:H60,J60:AJ60)-SUM(I55:I59,I61:I87)</f>
        <v>1.6413862449529693E-2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0.30066041126434945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1.6028243867017844E-3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0.66813424725410964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0.11135570787568495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1.5345246974704518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5.9422427547417556E-5</v>
      </c>
      <c r="N64" s="179">
        <f>N18*N$45</f>
        <v>3.8272833071137681E-18</v>
      </c>
      <c r="O64" s="179">
        <f>O18*O$45</f>
        <v>2.4685752057246114E-17</v>
      </c>
      <c r="P64" s="179">
        <f t="shared" ref="P64:AJ64" si="25">P18*P$45</f>
        <v>1.1047680808917538E-15</v>
      </c>
      <c r="Q64" s="376">
        <f t="shared" si="25"/>
        <v>0</v>
      </c>
      <c r="R64" s="376">
        <f t="shared" si="25"/>
        <v>0</v>
      </c>
      <c r="S64" s="179">
        <f t="shared" si="25"/>
        <v>9.4336895506539272E-17</v>
      </c>
      <c r="T64" s="179">
        <f t="shared" si="25"/>
        <v>2.096375455615064E-16</v>
      </c>
      <c r="U64" s="179">
        <f t="shared" si="25"/>
        <v>3.4939590928347876E-17</v>
      </c>
      <c r="V64" s="179">
        <f t="shared" si="25"/>
        <v>3.1894455015456192E-3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1.5310069224513101E-3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1.37056059490793E-2</v>
      </c>
      <c r="T65" s="376">
        <f t="shared" si="27"/>
        <v>3.0456902107818453E-2</v>
      </c>
      <c r="U65" s="376">
        <f t="shared" si="27"/>
        <v>5.0761503515108514E-3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1.6841076146964409E-2</v>
      </c>
      <c r="N66" s="179">
        <f t="shared" ref="N66:N87" si="28">N20*N$45</f>
        <v>5.0769665330774122E-2</v>
      </c>
      <c r="O66" s="378">
        <f>SUM(D66:N66,P66:AJ66)-SUM(O55:O65,O67:O87)</f>
        <v>1.5987211554602254E-14</v>
      </c>
      <c r="P66" s="376">
        <f t="shared" ref="P66:AJ66" si="29">P20*P$45</f>
        <v>0</v>
      </c>
      <c r="Q66" s="179">
        <f t="shared" si="29"/>
        <v>2.7044924626244629</v>
      </c>
      <c r="R66" s="376">
        <f t="shared" si="29"/>
        <v>0</v>
      </c>
      <c r="S66" s="179">
        <f t="shared" si="29"/>
        <v>0.15076166543987227</v>
      </c>
      <c r="T66" s="179">
        <f t="shared" si="29"/>
        <v>0.33502592318600294</v>
      </c>
      <c r="U66" s="179">
        <f t="shared" si="29"/>
        <v>5.5837653866619361E-2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3.4873793373544282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0.6523829453904848</v>
      </c>
      <c r="N67" s="179">
        <f t="shared" si="28"/>
        <v>0</v>
      </c>
      <c r="O67" s="179">
        <f t="shared" ref="O67:O87" si="30">O21*O$45</f>
        <v>0.31922096618823836</v>
      </c>
      <c r="P67" s="378">
        <f>SUM(D67:O67,Q67:AJ67)-SUM(P55:P66,P68:P87)</f>
        <v>4.9567461246624589E-11</v>
      </c>
      <c r="Q67" s="376">
        <f t="shared" ref="Q67:AJ67" si="31">Q21*Q$45</f>
        <v>0</v>
      </c>
      <c r="R67" s="179">
        <f t="shared" si="31"/>
        <v>41.761278799047822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395.94680126255315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2.9945074804064418</v>
      </c>
      <c r="P68" s="376">
        <f t="shared" ref="P68:P87" si="32">P22*P$45</f>
        <v>0</v>
      </c>
      <c r="Q68" s="378">
        <f>SUM(D68:P68,R68:AJ68)-SUM(Q55:Q67,Q69:Q87)</f>
        <v>0.29001501778197891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45.791186639494562</v>
      </c>
      <c r="Q69" s="376">
        <f t="shared" ref="Q69:Q87" si="34">Q23*Q$45</f>
        <v>0</v>
      </c>
      <c r="R69" s="378">
        <f>SUM(D69:Q69,S69:AJ69)-SUM(R55:R68,R70:R87)</f>
        <v>4.0299078404467394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0.16534874761615195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8.8147622720027852E-4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0.36744166136922651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1.9588360754049239E-3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6.1240276894871076E-2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3.264726767408313E-4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0.22414217730779465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9.1107710265270203E-6</v>
      </c>
      <c r="W73" s="179">
        <f t="shared" ref="W73:AJ73" si="43">W27*W$45</f>
        <v>1.1532558569381701E-14</v>
      </c>
      <c r="X73" s="376">
        <f t="shared" si="43"/>
        <v>0</v>
      </c>
      <c r="Y73" s="376">
        <f t="shared" si="43"/>
        <v>0</v>
      </c>
      <c r="Z73" s="179">
        <f t="shared" si="43"/>
        <v>5.6108737707718152E-17</v>
      </c>
      <c r="AA73" s="179">
        <f t="shared" si="43"/>
        <v>7.4992937508225983E-4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7.6955028391638739E-4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396.16835993795598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9.8344443719015739E-2</v>
      </c>
      <c r="W74" s="378">
        <f>SUM(D74:V74,X74:AJ74)-SUM(W55:W73,W75:W87)</f>
        <v>2.6193447411060333E-10</v>
      </c>
      <c r="X74" s="376">
        <f t="shared" ref="X74:AJ74" si="45">X28*X$45</f>
        <v>16253.750910938488</v>
      </c>
      <c r="Y74" s="376">
        <f t="shared" si="45"/>
        <v>0</v>
      </c>
      <c r="Z74" s="179">
        <f t="shared" si="45"/>
        <v>9.7820168263085455E-2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2523.1398040347949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16253.91774526044</v>
      </c>
      <c r="X75" s="378">
        <f>SUM(D75:W75,Y75:AJ75)-SUM(X55:X74,X76:X87)</f>
        <v>7.7525328379124403E-9</v>
      </c>
      <c r="Y75" s="376">
        <f t="shared" ref="Y75:AJ75" si="47">Y29*Y$45</f>
        <v>477.86709682911675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2523.3353677570904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478.00450662061019</v>
      </c>
      <c r="Y76" s="378">
        <f>SUM(D76:X76,Z76:AJ76)-SUM(Y55:Y75,Y77:Y87)</f>
        <v>0.13740979149343957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9.8344443713978852E-2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5.2427545089334116E-4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9.4340168161709381E-3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3.9679608959848622E-7</v>
      </c>
      <c r="AB78" s="179">
        <f t="shared" ref="AB78:AJ78" si="53">AB32*AB$45</f>
        <v>1.4513320519051412E-15</v>
      </c>
      <c r="AC78" s="376">
        <f t="shared" si="53"/>
        <v>0</v>
      </c>
      <c r="AD78" s="376">
        <f t="shared" si="53"/>
        <v>0</v>
      </c>
      <c r="AE78" s="179">
        <f t="shared" si="53"/>
        <v>6.3802516634330666E-19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2523.3906929999685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5.2102143870261311E-3</v>
      </c>
      <c r="AB79" s="378">
        <f>SUM(D79:AA79,AC79:AJ79)-SUM(AB55:AB78,AB80:AB87)</f>
        <v>4.1836756281554699E-11</v>
      </c>
      <c r="AC79" s="376">
        <f t="shared" ref="AC79:AJ79" si="55">AC33*AC$45</f>
        <v>11550.418964531193</v>
      </c>
      <c r="AD79" s="376">
        <f t="shared" si="55"/>
        <v>0</v>
      </c>
      <c r="AE79" s="179">
        <f t="shared" si="55"/>
        <v>3.4599230735118344E-3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14073.81832766858</v>
      </c>
      <c r="AC80" s="378">
        <f>SUM(D80:AB80,AD80:AJ80)-SUM(AC55:AC79,AC81:AC87)</f>
        <v>1.1095835361629725E-9</v>
      </c>
      <c r="AD80" s="376">
        <f t="shared" ref="AD80:AJ80" si="57">AD34*AD$45</f>
        <v>314.20150331900612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314.265498698192</v>
      </c>
      <c r="AD81" s="378">
        <f>SUM(D81:AC81,AE81:AJ81)-SUM(AD55:AD80,AD82:AD87)</f>
        <v>6.3995379185882939E-2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3.4734762579743997E-3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1.355318446256493E-5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1.6340196445067241E-2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7.0525252253775261E-7</v>
      </c>
      <c r="AG83" s="179">
        <f>AG37*AG$45</f>
        <v>6.9478198571587982E-14</v>
      </c>
      <c r="AH83" s="376">
        <f>AH37*AH$45</f>
        <v>0</v>
      </c>
      <c r="AI83" s="376">
        <f>AI37*AI$45</f>
        <v>0</v>
      </c>
      <c r="AJ83" s="380">
        <f>AJ37*AJ$45</f>
        <v>4.1466882864166686E-18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1.0898958636342234E-2</v>
      </c>
      <c r="AG84" s="378">
        <f>SUM(D84:AF84,AH84:AJ84)-SUM(AG55:AG83,AG85:AG87)</f>
        <v>1.469743438065052E-9</v>
      </c>
      <c r="AH84" s="376">
        <f>AH38*AH$45</f>
        <v>36638.607992394565</v>
      </c>
      <c r="AI84" s="179">
        <f>AI38*AI$45</f>
        <v>0</v>
      </c>
      <c r="AJ84" s="380">
        <f>AJ38*AJ$45</f>
        <v>4.6435003145908925E-3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2523.3647922797923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34115.483730817257</v>
      </c>
      <c r="AH85" s="378">
        <f>SUM(D85:AG85,AI85:AJ85)-SUM(AH55:AH84,AH86:AH87)</f>
        <v>4.7184585127979517E-8</v>
      </c>
      <c r="AI85" s="376">
        <f>AI39*AI$45</f>
        <v>1180.9460952522606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1181.1866259075614</v>
      </c>
      <c r="AI86" s="378">
        <f>SUM(D86:AH86,AJ86)-SUM(AI55:AI85,AI87)</f>
        <v>0.24053065530074491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4.6709822723555641E-3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2.7481957764667261E-5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143886.6310724697</v>
      </c>
      <c r="D92" s="179">
        <f>SUM($D$55:$AJ$55)</f>
        <v>-2.5554999611051197</v>
      </c>
      <c r="E92" s="179">
        <f>SUM($D$56:$AJ$56)</f>
        <v>0.30818348033104437</v>
      </c>
      <c r="F92" s="179">
        <f>SUM($D$57:$AJ$57)</f>
        <v>28.958421998659531</v>
      </c>
      <c r="G92" s="179">
        <f>SUM($D$58:$AJ$58)</f>
        <v>3.6738873838556012</v>
      </c>
      <c r="H92" s="179">
        <f>SUM($D$59:$AJ$59)</f>
        <v>33.886673905954481</v>
      </c>
      <c r="I92" s="179">
        <f>SUM($D$60:$AJ$60)</f>
        <v>0.20292190895068335</v>
      </c>
      <c r="J92" s="179">
        <f>SUM($D$61:$AJ$61)</f>
        <v>0.30226323565105123</v>
      </c>
      <c r="K92" s="179">
        <f>SUM($D$62:$AJ$62)</f>
        <v>-1.9187069010017972</v>
      </c>
      <c r="L92" s="179">
        <f>SUM($D$63:$AJ$63)</f>
        <v>0.11194934653742637</v>
      </c>
      <c r="M92" s="179">
        <f>SUM($D$64:$AJ$64)</f>
        <v>1.5377735653995461</v>
      </c>
      <c r="N92" s="179">
        <f>SUM($D$65:$AJ$65)</f>
        <v>5.07696653309457E-2</v>
      </c>
      <c r="O92" s="179">
        <f>SUM($D$66:$AJ$66)</f>
        <v>3.3137284465947121</v>
      </c>
      <c r="P92" s="179">
        <f>SUM($D$67:$AJ$67)</f>
        <v>442.16706331058367</v>
      </c>
      <c r="Q92" s="179">
        <f>SUM($D$68:$AJ$68)</f>
        <v>3.2845224981884207</v>
      </c>
      <c r="R92" s="179">
        <f>SUM($D$69:$AJ$69)</f>
        <v>49.821094479941301</v>
      </c>
      <c r="S92" s="179">
        <f>SUM($D$70:$AJ$70)</f>
        <v>0.16623022384335223</v>
      </c>
      <c r="T92" s="179">
        <f>SUM($D$71:$AJ$71)</f>
        <v>0.36940049744463144</v>
      </c>
      <c r="U92" s="179">
        <f>SUM($D$72:$AJ$72)</f>
        <v>6.1566749571611908E-2</v>
      </c>
      <c r="V92" s="179">
        <f>SUM($D$73:$AJ$73)</f>
        <v>0.22567076773783143</v>
      </c>
      <c r="W92" s="179">
        <f>SUM($D$74:$AJ$74)</f>
        <v>19173.255239523485</v>
      </c>
      <c r="X92" s="179">
        <f>SUM($D$75:$AJ$75)</f>
        <v>19255.120209854402</v>
      </c>
      <c r="Y92" s="179">
        <f>SUM($D$76:$AJ$76)</f>
        <v>478.14191641210363</v>
      </c>
      <c r="Z92" s="179">
        <f>SUM($D$77:$AJ$77)</f>
        <v>9.8868719164872193E-2</v>
      </c>
      <c r="AA92" s="179">
        <f>SUM($D$78:$AJ$78)</f>
        <v>9.4344136122619885E-3</v>
      </c>
      <c r="AB92" s="179">
        <f>SUM($D$79:$AJ$79)</f>
        <v>14073.818327668663</v>
      </c>
      <c r="AC92" s="179">
        <f>SUM($D$80:$AJ$80)</f>
        <v>14388.019830988695</v>
      </c>
      <c r="AD92" s="179">
        <f>SUM($D$81:$AJ$81)</f>
        <v>314.32949407737789</v>
      </c>
      <c r="AE92" s="179">
        <f>SUM($D$82:$AJ$82)</f>
        <v>3.4870294424369647E-3</v>
      </c>
      <c r="AF92" s="179">
        <f>SUM($D$83:$AJ$83)</f>
        <v>1.6340901697659262E-2</v>
      </c>
      <c r="AG92" s="179">
        <f>SUM($D$84:$AJ$84)</f>
        <v>36638.623534854989</v>
      </c>
      <c r="AH92" s="179">
        <f>SUM($D$85:$AJ$85)</f>
        <v>37819.794618396496</v>
      </c>
      <c r="AI92" s="179">
        <f>SUM($D$86:$AJ$86)</f>
        <v>1181.4271565628621</v>
      </c>
      <c r="AJ92" s="380">
        <f>SUM($D$87:$AJ$87)</f>
        <v>4.6984642301202313E-3</v>
      </c>
    </row>
    <row r="93" spans="2:36" ht="12.75" customHeight="1" x14ac:dyDescent="0.2">
      <c r="B93" s="146" t="s">
        <v>1212</v>
      </c>
      <c r="C93" s="150">
        <f>SUM(D93:AJ93)</f>
        <v>143886.63107246967</v>
      </c>
      <c r="D93" s="179">
        <f t="shared" ref="D93:AJ93" si="61">SUM(D55:D87)</f>
        <v>4.8726828896509478E-2</v>
      </c>
      <c r="E93" s="179">
        <f t="shared" si="61"/>
        <v>0.30818348033052351</v>
      </c>
      <c r="F93" s="179">
        <f t="shared" si="61"/>
        <v>31.562708462503345</v>
      </c>
      <c r="G93" s="179">
        <f t="shared" si="61"/>
        <v>3.6738873838555914</v>
      </c>
      <c r="H93" s="179">
        <f t="shared" si="61"/>
        <v>30.875590302246032</v>
      </c>
      <c r="I93" s="179">
        <f t="shared" si="61"/>
        <v>0.18650804650115366</v>
      </c>
      <c r="J93" s="179">
        <f t="shared" si="61"/>
        <v>0.30066041126434945</v>
      </c>
      <c r="K93" s="179">
        <f t="shared" si="61"/>
        <v>0.66813424725410986</v>
      </c>
      <c r="L93" s="179">
        <f t="shared" si="61"/>
        <v>0.11135570787568495</v>
      </c>
      <c r="M93" s="179">
        <f t="shared" si="61"/>
        <v>1.5377141429719987</v>
      </c>
      <c r="N93" s="179">
        <f t="shared" si="61"/>
        <v>5.0769665330859914E-2</v>
      </c>
      <c r="O93" s="179">
        <f t="shared" si="61"/>
        <v>3.3137284465946961</v>
      </c>
      <c r="P93" s="179">
        <f t="shared" si="61"/>
        <v>442.1670633105341</v>
      </c>
      <c r="Q93" s="179">
        <f t="shared" si="61"/>
        <v>2.9945074804064418</v>
      </c>
      <c r="R93" s="179">
        <f t="shared" si="61"/>
        <v>45.791186639494562</v>
      </c>
      <c r="S93" s="179">
        <f t="shared" si="61"/>
        <v>0.16534874761615195</v>
      </c>
      <c r="T93" s="179">
        <f t="shared" si="61"/>
        <v>0.36744166136922651</v>
      </c>
      <c r="U93" s="179">
        <f t="shared" si="61"/>
        <v>6.1240276894871076E-2</v>
      </c>
      <c r="V93" s="179">
        <f t="shared" si="61"/>
        <v>0.2256616569668049</v>
      </c>
      <c r="W93" s="179">
        <f t="shared" si="61"/>
        <v>19173.255239523223</v>
      </c>
      <c r="X93" s="179">
        <f t="shared" si="61"/>
        <v>19255.120209846646</v>
      </c>
      <c r="Y93" s="179">
        <f t="shared" si="61"/>
        <v>478.00450662061019</v>
      </c>
      <c r="Z93" s="179">
        <f t="shared" si="61"/>
        <v>9.8344443713978852E-2</v>
      </c>
      <c r="AA93" s="179">
        <f t="shared" si="61"/>
        <v>9.43401681617239E-3</v>
      </c>
      <c r="AB93" s="179">
        <f t="shared" si="61"/>
        <v>14073.818327668621</v>
      </c>
      <c r="AC93" s="179">
        <f t="shared" si="61"/>
        <v>14388.019830987585</v>
      </c>
      <c r="AD93" s="179">
        <f t="shared" si="61"/>
        <v>314.265498698192</v>
      </c>
      <c r="AE93" s="179">
        <f t="shared" si="61"/>
        <v>3.4734762579743997E-3</v>
      </c>
      <c r="AF93" s="179">
        <f t="shared" si="61"/>
        <v>1.6340196445136724E-2</v>
      </c>
      <c r="AG93" s="179">
        <f t="shared" si="61"/>
        <v>36638.623534853519</v>
      </c>
      <c r="AH93" s="179">
        <f t="shared" si="61"/>
        <v>37819.794618349311</v>
      </c>
      <c r="AI93" s="179">
        <f t="shared" si="61"/>
        <v>1181.1866259075614</v>
      </c>
      <c r="AJ93" s="380">
        <f t="shared" si="61"/>
        <v>4.6709822723555641E-3</v>
      </c>
    </row>
    <row r="94" spans="2:36" ht="12.75" customHeight="1" x14ac:dyDescent="0.2">
      <c r="B94" s="152" t="s">
        <v>1211</v>
      </c>
      <c r="C94" s="150">
        <f>SUM(D94:AJ94)</f>
        <v>7.8128593915383453</v>
      </c>
      <c r="D94" s="179">
        <f>k.aR*D45</f>
        <v>5.967384237416237E-5</v>
      </c>
      <c r="E94" s="179">
        <f>k.w0R*E45</f>
        <v>5.2079903076755711E-13</v>
      </c>
      <c r="F94" s="179">
        <f>k.w1R*F45</f>
        <v>1.7117170866486503E-13</v>
      </c>
      <c r="G94" s="179">
        <f>k.w2R*G45</f>
        <v>1.0086983133003832E-14</v>
      </c>
      <c r="H94" s="179">
        <f>k.sd1R*H45</f>
        <v>3.0110836037084647</v>
      </c>
      <c r="I94" s="179">
        <f>k.sd2R*I45</f>
        <v>1.6413862449529651E-2</v>
      </c>
      <c r="J94" s="179">
        <f>k.s1R*J45</f>
        <v>1.6028243867017423E-3</v>
      </c>
      <c r="K94" s="179">
        <f>k.s2R*K45</f>
        <v>1.7445315588096949E-2</v>
      </c>
      <c r="L94" s="179">
        <f>k.s3R*L45</f>
        <v>5.9363866174138582E-4</v>
      </c>
      <c r="M94" s="179">
        <f>k.aC*M45</f>
        <v>5.9422427547864532E-5</v>
      </c>
      <c r="N94" s="179">
        <f>k.w0C*N45</f>
        <v>8.5795619117376505E-14</v>
      </c>
      <c r="O94" s="179">
        <f>k.w1C*O45</f>
        <v>1.6601300801481467E-14</v>
      </c>
      <c r="P94" s="179">
        <f>k.w2C*P45</f>
        <v>4.9530831075425486E-11</v>
      </c>
      <c r="Q94" s="179">
        <f>k.sd1C*Q45</f>
        <v>0.29001501778197802</v>
      </c>
      <c r="R94" s="179">
        <f>k.sd2C*R45</f>
        <v>4.0299078404467368</v>
      </c>
      <c r="S94" s="179">
        <f>k.s1C*S45</f>
        <v>8.8147622720020197E-4</v>
      </c>
      <c r="T94" s="179">
        <f>k.s2C*T45</f>
        <v>1.9588360754047977E-3</v>
      </c>
      <c r="U94" s="179">
        <f>k.s3C*U45</f>
        <v>3.2647267674081553E-4</v>
      </c>
      <c r="V94" s="179">
        <f>k.aM*V45</f>
        <v>9.1107710264737945E-6</v>
      </c>
      <c r="W94" s="179">
        <f>k.w2M*W45</f>
        <v>2.5852358528788087E-10</v>
      </c>
      <c r="X94" s="179">
        <f>k.w3M*X45</f>
        <v>7.7556279520928164E-9</v>
      </c>
      <c r="Y94" s="179">
        <f>k.sdM*Y45</f>
        <v>0.1374097914934593</v>
      </c>
      <c r="Z94" s="179">
        <f>k.sM*Z45</f>
        <v>5.2427545089330104E-4</v>
      </c>
      <c r="AA94" s="179">
        <f>k.aA*AA45</f>
        <v>3.9679608959763083E-7</v>
      </c>
      <c r="AB94" s="179">
        <f>k.w2A*AB45</f>
        <v>4.5072187784543111E-11</v>
      </c>
      <c r="AC94" s="179">
        <f>k.w3A*AC45</f>
        <v>1.1097258194729144E-9</v>
      </c>
      <c r="AD94" s="179">
        <f>k.sdA*AD45</f>
        <v>6.3995379185881274E-2</v>
      </c>
      <c r="AE94" s="179">
        <f>k.sA*AE45</f>
        <v>1.3553184462565399E-5</v>
      </c>
      <c r="AF94" s="179">
        <f>k.aT*AF45</f>
        <v>7.0525252253854745E-7</v>
      </c>
      <c r="AG94" s="179">
        <f>k.w2T*AG45</f>
        <v>1.4646498285901949E-9</v>
      </c>
      <c r="AH94" s="179">
        <f>k.w3T*AH45</f>
        <v>4.7189186592745861E-8</v>
      </c>
      <c r="AI94" s="179">
        <f>k.sdT*AI45</f>
        <v>0.24053065530060738</v>
      </c>
      <c r="AJ94" s="374">
        <f>k.sT*AJ45</f>
        <v>2.7481957764666716E-5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7" priority="1423" stopIfTrue="1" operator="equal">
      <formula>0</formula>
    </cfRule>
    <cfRule type="cellIs" dxfId="16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5" priority="1417" operator="equal">
      <formula>0</formula>
    </cfRule>
  </conditionalFormatting>
  <conditionalFormatting sqref="D9:AJ41">
    <cfRule type="cellIs" dxfId="14" priority="18" stopIfTrue="1" operator="equal">
      <formula>0</formula>
    </cfRule>
    <cfRule type="cellIs" dxfId="13" priority="19" stopIfTrue="1" operator="notEqual">
      <formula>0</formula>
    </cfRule>
  </conditionalFormatting>
  <conditionalFormatting sqref="C45:AJ45 AI46:AJ46">
    <cfRule type="cellIs" dxfId="12" priority="16" operator="equal">
      <formula>0</formula>
    </cfRule>
  </conditionalFormatting>
  <conditionalFormatting sqref="C55:AJ87">
    <cfRule type="cellIs" dxfId="11" priority="13" stopIfTrue="1" operator="notEqual">
      <formula>0</formula>
    </cfRule>
    <cfRule type="cellIs" dxfId="10" priority="15" stopIfTrue="1" operator="equal">
      <formula>0</formula>
    </cfRule>
  </conditionalFormatting>
  <conditionalFormatting sqref="C91:AJ95">
    <cfRule type="cellIs" dxfId="9" priority="12" stopIfTrue="1" operator="notEqual">
      <formula>0</formula>
    </cfRule>
    <cfRule type="cellIs" dxfId="8" priority="14" stopIfTrue="1" operator="equal">
      <formula>0</formula>
    </cfRule>
  </conditionalFormatting>
  <conditionalFormatting sqref="C54:AJ95">
    <cfRule type="cellIs" dxfId="7" priority="11" operator="equal">
      <formula>0</formula>
    </cfRule>
  </conditionalFormatting>
  <conditionalFormatting sqref="C48">
    <cfRule type="cellIs" dxfId="6" priority="9" operator="between">
      <formula>-0.00001</formula>
      <formula>0.00001</formula>
    </cfRule>
  </conditionalFormatting>
  <conditionalFormatting sqref="D48:AJ48">
    <cfRule type="cellIs" dxfId="5" priority="10" operator="between">
      <formula>-0.00001</formula>
      <formula>0.00001</formula>
    </cfRule>
  </conditionalFormatting>
  <conditionalFormatting sqref="C47:AJ47">
    <cfRule type="cellIs" dxfId="4" priority="8" operator="equal">
      <formula>0</formula>
    </cfRule>
  </conditionalFormatting>
  <conditionalFormatting sqref="AG46">
    <cfRule type="cellIs" dxfId="3" priority="6" operator="equal">
      <formula>0</formula>
    </cfRule>
  </conditionalFormatting>
  <conditionalFormatting sqref="AB46">
    <cfRule type="cellIs" dxfId="2" priority="5" operator="equal">
      <formula>0</formula>
    </cfRule>
  </conditionalFormatting>
  <conditionalFormatting sqref="W46">
    <cfRule type="cellIs" dxfId="1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topLeftCell="A681" zoomScaleNormal="100" workbookViewId="0">
      <selection activeCell="B708" sqref="B708"/>
    </sheetView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8.2631837199999971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0.54559658999999994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2.7400000000000028E-2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1.6167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3.4713103049999998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5.6584500000000002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2.873333333337394E-9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2.8933333333373947E-9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9.1333333333739474E-10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9.1333333333739463E-10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2.1133333342172168E-12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2.9833333373945953E-12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2.1133333433333336E-12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7.8185555555555577E-10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7.812555555555558E-10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2.6195185185185192E-10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2.892884518518519E-10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2.8926235185185191E-10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2.892884518518519E-10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2024-07-16T10:55:55Z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