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rivm-file-a03p.rivm.ssc-campus.nl\home\hidsa\Documents\GitHub\SimpleBox\SBooScripts\vignettes\Development\Quality control\SBExcel\"/>
    </mc:Choice>
  </mc:AlternateContent>
  <xr:revisionPtr revIDLastSave="0" documentId="13_ncr:1_{7EF7AB1B-43A5-4DC1-9CEF-67C2E85048AD}" xr6:coauthVersionLast="47" xr6:coauthVersionMax="47" xr10:uidLastSave="{00000000-0000-0000-0000-000000000000}"/>
  <bookViews>
    <workbookView xWindow="-120" yWindow="-120" windowWidth="29040" windowHeight="15840" tabRatio="704" activeTab="7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4" i="3" l="1"/>
  <c r="I75" i="3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B881" i="22"/>
  <c r="L203" i="8"/>
  <c r="K60" i="7" l="1"/>
  <c r="L60" i="7" s="1"/>
  <c r="K58" i="7" s="1"/>
  <c r="L58" i="7" s="1"/>
  <c r="P12" i="11" s="1"/>
  <c r="F12" i="11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5" i="22" l="1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R6" i="2"/>
  <c r="K6" i="2"/>
  <c r="E6" i="2"/>
  <c r="BQ12" i="23" s="1"/>
  <c r="G6" i="2"/>
  <c r="D6" i="2"/>
  <c r="BP12" i="23" s="1"/>
  <c r="Z6" i="2"/>
  <c r="J6" i="2"/>
  <c r="U6" i="2"/>
  <c r="F6" i="2"/>
  <c r="O6" i="2"/>
  <c r="S6" i="2"/>
  <c r="P6" i="2"/>
  <c r="M6" i="2"/>
  <c r="I17" i="18"/>
  <c r="BN12" i="23"/>
  <c r="J35" i="3" l="1"/>
  <c r="L35" i="3" s="1"/>
  <c r="J17" i="3"/>
  <c r="C5" i="23"/>
  <c r="P17" i="3"/>
  <c r="BO12" i="23"/>
  <c r="J15" i="3"/>
  <c r="L15" i="3" s="1"/>
  <c r="J37" i="3"/>
  <c r="L37" i="3" s="1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B333" i="22"/>
  <c r="J60" i="3"/>
  <c r="I54" i="3"/>
  <c r="I46" i="3"/>
  <c r="I63" i="3"/>
  <c r="I50" i="3"/>
  <c r="K96" i="8"/>
  <c r="L96" i="8" s="1"/>
  <c r="B332" i="22"/>
  <c r="J42" i="3"/>
  <c r="I53" i="3"/>
  <c r="I60" i="3"/>
  <c r="I52" i="3"/>
  <c r="J54" i="3"/>
  <c r="I62" i="3"/>
  <c r="K24" i="3"/>
  <c r="L24" i="3" s="1"/>
  <c r="B336" i="22"/>
  <c r="K28" i="3"/>
  <c r="L28" i="3" s="1"/>
  <c r="B330" i="22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B339" i="22" l="1"/>
  <c r="B338" i="22"/>
  <c r="K31" i="3"/>
  <c r="L31" i="3" s="1"/>
  <c r="K26" i="3"/>
  <c r="L26" i="3" s="1"/>
  <c r="K91" i="7" s="1"/>
  <c r="L91" i="7" s="1"/>
  <c r="B334" i="22"/>
  <c r="B331" i="22"/>
  <c r="B337" i="22"/>
  <c r="K32" i="3"/>
  <c r="L32" i="3" s="1"/>
  <c r="K18" i="3"/>
  <c r="L18" i="3" s="1"/>
  <c r="K25" i="3"/>
  <c r="L25" i="3" s="1"/>
  <c r="K79" i="7" s="1"/>
  <c r="L79" i="7" s="1"/>
  <c r="B335" i="22"/>
  <c r="K33" i="3"/>
  <c r="L33" i="3" s="1"/>
  <c r="B328" i="22"/>
  <c r="K29" i="3"/>
  <c r="L29" i="3" s="1"/>
  <c r="K99" i="7" s="1"/>
  <c r="L99" i="7" s="1"/>
  <c r="K27" i="3"/>
  <c r="L27" i="3" s="1"/>
  <c r="B329" i="22"/>
  <c r="K34" i="3"/>
  <c r="L34" i="3" s="1"/>
  <c r="I55" i="3"/>
  <c r="J56" i="3"/>
  <c r="J43" i="3"/>
  <c r="I42" i="3"/>
  <c r="K17" i="3" s="1"/>
  <c r="L17" i="3" s="1"/>
  <c r="K75" i="3" s="1"/>
  <c r="J58" i="3"/>
  <c r="I49" i="3"/>
  <c r="J57" i="3"/>
  <c r="I57" i="3"/>
  <c r="I43" i="3"/>
  <c r="J46" i="3"/>
  <c r="J44" i="3"/>
  <c r="J61" i="3"/>
  <c r="I61" i="3"/>
  <c r="J49" i="3"/>
  <c r="I48" i="3"/>
  <c r="K37" i="3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1" i="3"/>
  <c r="L21" i="3" s="1"/>
  <c r="K23" i="3" s="1"/>
  <c r="L23" i="3" s="1"/>
  <c r="J63" i="3"/>
  <c r="J47" i="3"/>
  <c r="I56" i="3"/>
  <c r="I58" i="3"/>
  <c r="P788" i="18"/>
  <c r="L75" i="3"/>
  <c r="K211" i="6" s="1"/>
  <c r="L211" i="6" s="1"/>
  <c r="L652" i="18"/>
  <c r="K109" i="7"/>
  <c r="L109" i="7" s="1"/>
  <c r="L924" i="18"/>
  <c r="L922" i="18"/>
  <c r="M220" i="18"/>
  <c r="B722" i="22"/>
  <c r="P650" i="18"/>
  <c r="M922" i="18"/>
  <c r="L445" i="18"/>
  <c r="N788" i="18"/>
  <c r="O788" i="18"/>
  <c r="M650" i="18"/>
  <c r="O922" i="18"/>
  <c r="M924" i="18"/>
  <c r="L650" i="18"/>
  <c r="L788" i="18"/>
  <c r="L220" i="18"/>
  <c r="O447" i="18"/>
  <c r="B725" i="22"/>
  <c r="O650" i="18"/>
  <c r="O222" i="18"/>
  <c r="B724" i="22"/>
  <c r="B723" i="22"/>
  <c r="N786" i="18"/>
  <c r="B721" i="22"/>
  <c r="M447" i="18"/>
  <c r="O786" i="18"/>
  <c r="P786" i="18"/>
  <c r="N922" i="18"/>
  <c r="P220" i="18"/>
  <c r="K98" i="6"/>
  <c r="L98" i="6" s="1"/>
  <c r="K104" i="7"/>
  <c r="L104" i="7" s="1"/>
  <c r="M222" i="18"/>
  <c r="M652" i="18"/>
  <c r="M445" i="18"/>
  <c r="P222" i="18"/>
  <c r="B627" i="22"/>
  <c r="B624" i="22"/>
  <c r="K88" i="6"/>
  <c r="L88" i="6" s="1"/>
  <c r="K338" i="8"/>
  <c r="L338" i="8" s="1"/>
  <c r="P447" i="18"/>
  <c r="K85" i="6"/>
  <c r="L85" i="6" s="1"/>
  <c r="B622" i="22"/>
  <c r="K93" i="6"/>
  <c r="L93" i="6" s="1"/>
  <c r="K207" i="8"/>
  <c r="L207" i="8" s="1"/>
  <c r="K343" i="8"/>
  <c r="L343" i="8" s="1"/>
  <c r="B621" i="22"/>
  <c r="B630" i="22"/>
  <c r="N220" i="18"/>
  <c r="P922" i="18"/>
  <c r="N222" i="18"/>
  <c r="N652" i="18"/>
  <c r="N447" i="18"/>
  <c r="K79" i="6"/>
  <c r="L79" i="6" s="1"/>
  <c r="K85" i="7"/>
  <c r="L85" i="7" s="1"/>
  <c r="K55" i="8"/>
  <c r="L55" i="8" s="1"/>
  <c r="B642" i="22"/>
  <c r="B635" i="22"/>
  <c r="K327" i="8"/>
  <c r="L327" i="8" s="1"/>
  <c r="B641" i="22"/>
  <c r="B636" i="22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K73" i="6"/>
  <c r="L73" i="6" s="1"/>
  <c r="K73" i="7"/>
  <c r="L73" i="7" s="1"/>
  <c r="B632" i="22"/>
  <c r="B631" i="22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09" i="6"/>
  <c r="L209" i="6" s="1"/>
  <c r="K216" i="7"/>
  <c r="L216" i="7" s="1"/>
  <c r="K210" i="6"/>
  <c r="L210" i="6" s="1"/>
  <c r="K217" i="7"/>
  <c r="L217" i="7" s="1"/>
  <c r="K274" i="8"/>
  <c r="L274" i="8" s="1"/>
  <c r="B558" i="22"/>
  <c r="B561" i="22"/>
  <c r="B570" i="22"/>
  <c r="B557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s="1"/>
  <c r="L19" i="3" s="1"/>
  <c r="K76" i="6" l="1"/>
  <c r="L76" i="6" s="1"/>
  <c r="K334" i="8"/>
  <c r="L334" i="8" s="1"/>
  <c r="K88" i="7"/>
  <c r="L88" i="7" s="1"/>
  <c r="K197" i="8"/>
  <c r="L197" i="8" s="1"/>
  <c r="B605" i="22"/>
  <c r="K62" i="8"/>
  <c r="L62" i="8" s="1"/>
  <c r="B608" i="22"/>
  <c r="K61" i="8"/>
  <c r="L61" i="8" s="1"/>
  <c r="K82" i="7"/>
  <c r="L82" i="7" s="1"/>
  <c r="B603" i="22"/>
  <c r="B610" i="22"/>
  <c r="B606" i="22"/>
  <c r="K198" i="8"/>
  <c r="L198" i="8" s="1"/>
  <c r="K76" i="7"/>
  <c r="L76" i="7" s="1"/>
  <c r="B604" i="22"/>
  <c r="K333" i="8"/>
  <c r="L333" i="8" s="1"/>
  <c r="B560" i="22"/>
  <c r="B569" i="22"/>
  <c r="K410" i="8"/>
  <c r="L410" i="8" s="1"/>
  <c r="K215" i="7"/>
  <c r="L215" i="7" s="1"/>
  <c r="B634" i="22"/>
  <c r="K67" i="6"/>
  <c r="L67" i="6" s="1"/>
  <c r="B637" i="22"/>
  <c r="K56" i="8"/>
  <c r="L56" i="8" s="1"/>
  <c r="K192" i="8"/>
  <c r="L192" i="8" s="1"/>
  <c r="B640" i="22"/>
  <c r="B616" i="22"/>
  <c r="K71" i="8"/>
  <c r="L71" i="8" s="1"/>
  <c r="B623" i="22"/>
  <c r="B628" i="22"/>
  <c r="B626" i="22"/>
  <c r="K202" i="8"/>
  <c r="L202" i="8" s="1"/>
  <c r="B618" i="22"/>
  <c r="K103" i="6"/>
  <c r="L103" i="6" s="1"/>
  <c r="B559" i="22"/>
  <c r="B555" i="22"/>
  <c r="B556" i="22"/>
  <c r="K138" i="8"/>
  <c r="L138" i="8" s="1"/>
  <c r="B633" i="22"/>
  <c r="K328" i="8"/>
  <c r="L328" i="8" s="1"/>
  <c r="B638" i="22"/>
  <c r="K191" i="8"/>
  <c r="L191" i="8" s="1"/>
  <c r="B639" i="22"/>
  <c r="L786" i="18"/>
  <c r="B615" i="22"/>
  <c r="B629" i="22"/>
  <c r="B625" i="22"/>
  <c r="K66" i="8"/>
  <c r="L66" i="8" s="1"/>
  <c r="K94" i="7"/>
  <c r="L94" i="7" s="1"/>
  <c r="N650" i="18"/>
  <c r="B617" i="22"/>
  <c r="M788" i="18"/>
  <c r="O924" i="18"/>
  <c r="O445" i="18"/>
  <c r="P924" i="18"/>
  <c r="N924" i="18"/>
  <c r="M786" i="18"/>
  <c r="O652" i="18"/>
  <c r="L222" i="18"/>
  <c r="P652" i="18"/>
  <c r="N445" i="18"/>
  <c r="P445" i="18"/>
  <c r="K74" i="3"/>
  <c r="L74" i="3" s="1"/>
  <c r="B471" i="22" s="1"/>
  <c r="B619" i="22"/>
  <c r="B620" i="22"/>
  <c r="K82" i="6"/>
  <c r="L82" i="6" s="1"/>
  <c r="K70" i="6"/>
  <c r="L70" i="6" s="1"/>
  <c r="I8" i="16"/>
  <c r="AC13" i="23"/>
  <c r="AS28" i="23" s="1"/>
  <c r="K78" i="6"/>
  <c r="L78" i="6" s="1"/>
  <c r="O220" i="18"/>
  <c r="K213" i="7"/>
  <c r="L213" i="7" s="1"/>
  <c r="K197" i="7" s="1"/>
  <c r="L197" i="7" s="1"/>
  <c r="B568" i="22"/>
  <c r="K409" i="8"/>
  <c r="L409" i="8" s="1"/>
  <c r="K398" i="8" s="1"/>
  <c r="L398" i="8" s="1"/>
  <c r="B467" i="22"/>
  <c r="B461" i="22"/>
  <c r="K208" i="6"/>
  <c r="L208" i="6" s="1"/>
  <c r="K192" i="6" s="1"/>
  <c r="L192" i="6" s="1"/>
  <c r="B469" i="22"/>
  <c r="K273" i="8"/>
  <c r="L273" i="8" s="1"/>
  <c r="K262" i="8" s="1"/>
  <c r="L262" i="8" s="1"/>
  <c r="K207" i="6"/>
  <c r="L207" i="6" s="1"/>
  <c r="K191" i="6" s="1"/>
  <c r="L191" i="6" s="1"/>
  <c r="B565" i="22"/>
  <c r="B564" i="22"/>
  <c r="B365" i="22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K153" i="6"/>
  <c r="L153" i="6" s="1"/>
  <c r="K164" i="6"/>
  <c r="L164" i="6" s="1"/>
  <c r="B5" i="22"/>
  <c r="B513" i="22"/>
  <c r="B578" i="22"/>
  <c r="B760" i="22"/>
  <c r="K202" i="6"/>
  <c r="L202" i="6" s="1"/>
  <c r="K190" i="6" s="1"/>
  <c r="L190" i="6" s="1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B563" i="22" l="1"/>
  <c r="B566" i="22"/>
  <c r="K137" i="8"/>
  <c r="L137" i="8" s="1"/>
  <c r="K126" i="8" s="1"/>
  <c r="L126" i="8" s="1"/>
  <c r="B567" i="22"/>
  <c r="K214" i="7"/>
  <c r="L214" i="7" s="1"/>
  <c r="K198" i="7" s="1"/>
  <c r="L198" i="7" s="1"/>
  <c r="B459" i="22"/>
  <c r="B463" i="22"/>
  <c r="B465" i="22"/>
  <c r="B562" i="22"/>
  <c r="K170" i="7"/>
  <c r="L170" i="7" s="1"/>
  <c r="B4" i="22"/>
  <c r="B502" i="22"/>
  <c r="K159" i="7"/>
  <c r="L159" i="7" s="1"/>
  <c r="K154" i="7" s="1"/>
  <c r="L154" i="7" s="1"/>
  <c r="P23" i="11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819" i="22" l="1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K127" i="7" s="1"/>
  <c r="L127" i="7" s="1"/>
  <c r="K126" i="7" s="1"/>
  <c r="L126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77" i="8" l="1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M26" i="11" l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s="1" a="1"/>
  <c r="L45" i="11" l="1"/>
  <c r="T45" i="11"/>
  <c r="AB45" i="11"/>
  <c r="AJ45" i="11"/>
  <c r="S45" i="11"/>
  <c r="AI45" i="11"/>
  <c r="AG45" i="11"/>
  <c r="M45" i="11"/>
  <c r="F45" i="11"/>
  <c r="V45" i="11"/>
  <c r="AD45" i="11"/>
  <c r="G45" i="11"/>
  <c r="W45" i="11"/>
  <c r="I45" i="11"/>
  <c r="E45" i="11"/>
  <c r="H45" i="11"/>
  <c r="K45" i="11"/>
  <c r="Q45" i="11"/>
  <c r="O45" i="11"/>
  <c r="Y45" i="11"/>
  <c r="N45" i="11"/>
  <c r="AC45" i="11"/>
  <c r="P45" i="11"/>
  <c r="X45" i="11"/>
  <c r="AF45" i="11"/>
  <c r="AA45" i="11"/>
  <c r="U45" i="11"/>
  <c r="J45" i="11"/>
  <c r="Z45" i="11"/>
  <c r="AH45" i="11"/>
  <c r="AE45" i="11"/>
  <c r="D45" i="11"/>
  <c r="R45" i="11"/>
  <c r="D72" i="11" l="1"/>
  <c r="D73" i="11"/>
  <c r="D79" i="11"/>
  <c r="D75" i="11"/>
  <c r="D78" i="11"/>
  <c r="D83" i="11"/>
  <c r="BR12" i="23"/>
  <c r="D60" i="11"/>
  <c r="D76" i="11"/>
  <c r="D85" i="11"/>
  <c r="D81" i="11"/>
  <c r="D70" i="11"/>
  <c r="C11" i="23"/>
  <c r="D49" i="11"/>
  <c r="D64" i="11"/>
  <c r="D80" i="11"/>
  <c r="D65" i="11"/>
  <c r="D66" i="11"/>
  <c r="D59" i="11"/>
  <c r="D86" i="11"/>
  <c r="D82" i="11"/>
  <c r="D87" i="11"/>
  <c r="AD22" i="23"/>
  <c r="D50" i="11"/>
  <c r="D46" i="11"/>
  <c r="D68" i="11"/>
  <c r="D84" i="11"/>
  <c r="D69" i="11"/>
  <c r="D74" i="11"/>
  <c r="D67" i="11"/>
  <c r="D77" i="11"/>
  <c r="AE12" i="23"/>
  <c r="AU10" i="23" s="1"/>
  <c r="AF12" i="23"/>
  <c r="D71" i="11"/>
  <c r="C45" i="11"/>
  <c r="AG12" i="23"/>
  <c r="D94" i="11"/>
  <c r="AJ19" i="23"/>
  <c r="AJ20" i="23"/>
  <c r="BF22" i="23" s="1"/>
  <c r="AH13" i="23"/>
  <c r="AJ18" i="23"/>
  <c r="AH14" i="23"/>
  <c r="AX23" i="23" s="1"/>
  <c r="AH15" i="23"/>
  <c r="AU23" i="23" s="1"/>
  <c r="D61" i="11"/>
  <c r="D63" i="11"/>
  <c r="D62" i="11"/>
  <c r="D56" i="11"/>
  <c r="D58" i="11"/>
  <c r="D57" i="11"/>
  <c r="J59" i="11"/>
  <c r="J70" i="11"/>
  <c r="J58" i="11"/>
  <c r="J74" i="11"/>
  <c r="J62" i="11"/>
  <c r="J66" i="11"/>
  <c r="J63" i="11"/>
  <c r="J69" i="11"/>
  <c r="J68" i="11"/>
  <c r="J80" i="11"/>
  <c r="J81" i="11"/>
  <c r="J84" i="11"/>
  <c r="J60" i="11"/>
  <c r="J49" i="11"/>
  <c r="J78" i="11"/>
  <c r="J67" i="11"/>
  <c r="J77" i="11"/>
  <c r="J79" i="11"/>
  <c r="J87" i="11"/>
  <c r="BX12" i="23"/>
  <c r="J82" i="11"/>
  <c r="J71" i="11"/>
  <c r="J83" i="11"/>
  <c r="J85" i="11"/>
  <c r="J64" i="11"/>
  <c r="J76" i="11"/>
  <c r="J50" i="11"/>
  <c r="C39" i="23"/>
  <c r="J46" i="11"/>
  <c r="J86" i="11"/>
  <c r="J75" i="11"/>
  <c r="J72" i="11"/>
  <c r="J73" i="11"/>
  <c r="AK18" i="23"/>
  <c r="AG18" i="23"/>
  <c r="BD27" i="23" s="1"/>
  <c r="J65" i="11"/>
  <c r="J55" i="11"/>
  <c r="J56" i="11"/>
  <c r="AL18" i="23"/>
  <c r="J94" i="11"/>
  <c r="J57" i="11"/>
  <c r="X56" i="11"/>
  <c r="X57" i="11"/>
  <c r="X72" i="11"/>
  <c r="X61" i="11"/>
  <c r="X78" i="11"/>
  <c r="X69" i="11"/>
  <c r="AG34" i="23"/>
  <c r="AV158" i="23" s="1"/>
  <c r="X73" i="11"/>
  <c r="AE34" i="23"/>
  <c r="AS157" i="23" s="1"/>
  <c r="X58" i="11"/>
  <c r="AT153" i="23"/>
  <c r="X60" i="11"/>
  <c r="X66" i="11"/>
  <c r="X74" i="11"/>
  <c r="X65" i="11"/>
  <c r="X82" i="11"/>
  <c r="X79" i="11"/>
  <c r="X80" i="11"/>
  <c r="X94" i="11"/>
  <c r="X81" i="11"/>
  <c r="X49" i="11"/>
  <c r="X62" i="11"/>
  <c r="X68" i="11"/>
  <c r="X76" i="11"/>
  <c r="X55" i="11"/>
  <c r="X86" i="11"/>
  <c r="X83" i="11"/>
  <c r="X84" i="11"/>
  <c r="AM35" i="23"/>
  <c r="AM34" i="23"/>
  <c r="X85" i="11"/>
  <c r="X64" i="11"/>
  <c r="X70" i="11"/>
  <c r="X59" i="11"/>
  <c r="X63" i="11"/>
  <c r="X67" i="11"/>
  <c r="X87" i="11"/>
  <c r="X71" i="11"/>
  <c r="X77" i="11"/>
  <c r="G31" i="23"/>
  <c r="X50" i="11"/>
  <c r="Y61" i="11"/>
  <c r="Y65" i="11"/>
  <c r="Y73" i="11"/>
  <c r="Y64" i="11"/>
  <c r="Y82" i="11"/>
  <c r="Y79" i="11"/>
  <c r="Y66" i="11"/>
  <c r="AN34" i="23"/>
  <c r="Y77" i="11"/>
  <c r="Y49" i="11"/>
  <c r="Y48" i="11" s="1"/>
  <c r="Y55" i="11"/>
  <c r="Y63" i="11"/>
  <c r="Y67" i="11"/>
  <c r="Y75" i="11"/>
  <c r="Y68" i="11"/>
  <c r="Y86" i="11"/>
  <c r="Y83" i="11"/>
  <c r="Y80" i="11"/>
  <c r="Y85" i="11"/>
  <c r="AN35" i="23"/>
  <c r="Y46" i="11"/>
  <c r="Y57" i="11"/>
  <c r="Y60" i="11"/>
  <c r="Y69" i="11"/>
  <c r="Y56" i="11"/>
  <c r="Y72" i="11"/>
  <c r="Y70" i="11"/>
  <c r="Y87" i="11"/>
  <c r="Y84" i="11"/>
  <c r="AG35" i="23"/>
  <c r="AU164" i="23" s="1"/>
  <c r="AT159" i="23"/>
  <c r="Y94" i="11"/>
  <c r="Y58" i="11"/>
  <c r="Y59" i="11"/>
  <c r="Y71" i="11"/>
  <c r="Y62" i="11"/>
  <c r="Y78" i="11"/>
  <c r="Y74" i="11"/>
  <c r="Y50" i="11"/>
  <c r="Y81" i="11"/>
  <c r="G35" i="23"/>
  <c r="CM12" i="23"/>
  <c r="H64" i="11"/>
  <c r="H80" i="11"/>
  <c r="H65" i="11"/>
  <c r="H81" i="11"/>
  <c r="H83" i="11"/>
  <c r="H63" i="11"/>
  <c r="H66" i="11"/>
  <c r="H70" i="11"/>
  <c r="AG16" i="23"/>
  <c r="AX35" i="23" s="1"/>
  <c r="BV12" i="23"/>
  <c r="H56" i="11"/>
  <c r="H68" i="11"/>
  <c r="H84" i="11"/>
  <c r="H69" i="11"/>
  <c r="H85" i="11"/>
  <c r="H62" i="11"/>
  <c r="H74" i="11"/>
  <c r="H78" i="11"/>
  <c r="H50" i="11"/>
  <c r="H49" i="11"/>
  <c r="H94" i="11"/>
  <c r="H58" i="11"/>
  <c r="H72" i="11"/>
  <c r="H57" i="11"/>
  <c r="H73" i="11"/>
  <c r="H67" i="11"/>
  <c r="H71" i="11"/>
  <c r="H86" i="11"/>
  <c r="H87" i="11"/>
  <c r="H79" i="11"/>
  <c r="C23" i="23"/>
  <c r="H60" i="11"/>
  <c r="H76" i="11"/>
  <c r="H61" i="11"/>
  <c r="H77" i="11"/>
  <c r="H75" i="11"/>
  <c r="H82" i="11"/>
  <c r="H55" i="11"/>
  <c r="AN16" i="23"/>
  <c r="AY32" i="23" s="1"/>
  <c r="AN14" i="23"/>
  <c r="H46" i="11"/>
  <c r="G59" i="11"/>
  <c r="G75" i="11"/>
  <c r="G57" i="11"/>
  <c r="G76" i="11"/>
  <c r="G61" i="11"/>
  <c r="G82" i="11"/>
  <c r="G62" i="11"/>
  <c r="G69" i="11"/>
  <c r="AG15" i="23"/>
  <c r="AU33" i="23" s="1"/>
  <c r="AM17" i="23"/>
  <c r="BU12" i="23"/>
  <c r="G63" i="11"/>
  <c r="G79" i="11"/>
  <c r="G60" i="11"/>
  <c r="G81" i="11"/>
  <c r="G66" i="11"/>
  <c r="G64" i="11"/>
  <c r="G78" i="11"/>
  <c r="G84" i="11"/>
  <c r="C27" i="23"/>
  <c r="G50" i="11"/>
  <c r="G46" i="11"/>
  <c r="G67" i="11"/>
  <c r="G83" i="11"/>
  <c r="G65" i="11"/>
  <c r="G86" i="11"/>
  <c r="G72" i="11"/>
  <c r="G74" i="11"/>
  <c r="G68" i="11"/>
  <c r="AE15" i="23"/>
  <c r="AS26" i="23" s="1"/>
  <c r="AI15" i="23"/>
  <c r="AU21" i="23" s="1"/>
  <c r="G94" i="11"/>
  <c r="G55" i="11"/>
  <c r="G71" i="11"/>
  <c r="G87" i="11"/>
  <c r="G70" i="11"/>
  <c r="G56" i="11"/>
  <c r="G77" i="11"/>
  <c r="G85" i="11"/>
  <c r="G80" i="11"/>
  <c r="G73" i="11"/>
  <c r="AM15" i="23"/>
  <c r="G49" i="11"/>
  <c r="M61" i="11"/>
  <c r="M56" i="11"/>
  <c r="M76" i="11"/>
  <c r="M59" i="11"/>
  <c r="M83" i="11"/>
  <c r="M85" i="11"/>
  <c r="AF22" i="23"/>
  <c r="AZ72" i="23" s="1"/>
  <c r="E11" i="23"/>
  <c r="M63" i="11"/>
  <c r="M60" i="11"/>
  <c r="M80" i="11"/>
  <c r="M77" i="11"/>
  <c r="M69" i="11"/>
  <c r="M75" i="11"/>
  <c r="M62" i="11"/>
  <c r="M46" i="11"/>
  <c r="M55" i="11"/>
  <c r="M68" i="11"/>
  <c r="M84" i="11"/>
  <c r="M82" i="11"/>
  <c r="M73" i="11"/>
  <c r="M74" i="11"/>
  <c r="AE22" i="23"/>
  <c r="AU74" i="23" s="1"/>
  <c r="M81" i="11"/>
  <c r="M50" i="11"/>
  <c r="AD32" i="23"/>
  <c r="CA12" i="23"/>
  <c r="M57" i="11"/>
  <c r="M58" i="11"/>
  <c r="M87" i="11"/>
  <c r="M78" i="11"/>
  <c r="M79" i="11"/>
  <c r="AD12" i="23"/>
  <c r="AS9" i="23" s="1"/>
  <c r="M86" i="11"/>
  <c r="M49" i="11"/>
  <c r="M48" i="11" s="1"/>
  <c r="AG22" i="23"/>
  <c r="AX72" i="23" s="1"/>
  <c r="M94" i="11"/>
  <c r="AJ28" i="23"/>
  <c r="AJ30" i="23"/>
  <c r="BF86" i="23" s="1"/>
  <c r="AH25" i="23"/>
  <c r="AU87" i="23" s="1"/>
  <c r="AJ29" i="23"/>
  <c r="BH86" i="23" s="1"/>
  <c r="AH24" i="23"/>
  <c r="AX87" i="23" s="1"/>
  <c r="AH23" i="23"/>
  <c r="M71" i="11"/>
  <c r="M66" i="11"/>
  <c r="M70" i="11"/>
  <c r="M67" i="11"/>
  <c r="M65" i="11"/>
  <c r="M72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AJ49" i="11"/>
  <c r="AJ48" i="11" s="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58" i="11"/>
  <c r="AE63" i="11"/>
  <c r="AE67" i="11"/>
  <c r="AE60" i="11"/>
  <c r="AE80" i="11"/>
  <c r="AE70" i="11"/>
  <c r="I47" i="23"/>
  <c r="AE68" i="11"/>
  <c r="AE50" i="11"/>
  <c r="BD144" i="23"/>
  <c r="AE62" i="11"/>
  <c r="AE64" i="11"/>
  <c r="AE71" i="11"/>
  <c r="AE81" i="11"/>
  <c r="AE72" i="11"/>
  <c r="AE85" i="11"/>
  <c r="AE74" i="11"/>
  <c r="AK42" i="23"/>
  <c r="AK38" i="23" s="1"/>
  <c r="AE83" i="11"/>
  <c r="AE49" i="11"/>
  <c r="AE57" i="11"/>
  <c r="AE65" i="11"/>
  <c r="AE73" i="11"/>
  <c r="AE84" i="11"/>
  <c r="AE76" i="11"/>
  <c r="AE61" i="11"/>
  <c r="AE75" i="11"/>
  <c r="AE86" i="11"/>
  <c r="AE46" i="11"/>
  <c r="AE55" i="11"/>
  <c r="AE59" i="11"/>
  <c r="AE66" i="11"/>
  <c r="AE77" i="11"/>
  <c r="AE56" i="11"/>
  <c r="AE78" i="11"/>
  <c r="AE69" i="11"/>
  <c r="AE87" i="11"/>
  <c r="AG42" i="23"/>
  <c r="CS12" i="23"/>
  <c r="AL42" i="23"/>
  <c r="AL39" i="23" s="1"/>
  <c r="BB147" i="23" s="1"/>
  <c r="AE94" i="11"/>
  <c r="AE79" i="11"/>
  <c r="U57" i="11"/>
  <c r="U63" i="11"/>
  <c r="U67" i="11"/>
  <c r="U80" i="11"/>
  <c r="U56" i="11"/>
  <c r="U83" i="11"/>
  <c r="U79" i="11"/>
  <c r="AG30" i="23"/>
  <c r="BF91" i="23" s="1"/>
  <c r="U86" i="11"/>
  <c r="U58" i="11"/>
  <c r="U60" i="11"/>
  <c r="U69" i="11"/>
  <c r="U84" i="11"/>
  <c r="U77" i="11"/>
  <c r="U68" i="11"/>
  <c r="U50" i="11"/>
  <c r="U85" i="11"/>
  <c r="U81" i="11"/>
  <c r="AK30" i="23"/>
  <c r="BF84" i="23" s="1"/>
  <c r="U59" i="11"/>
  <c r="U62" i="11"/>
  <c r="U71" i="11"/>
  <c r="U64" i="11"/>
  <c r="U82" i="11"/>
  <c r="U73" i="11"/>
  <c r="U70" i="11"/>
  <c r="U75" i="11"/>
  <c r="E47" i="23"/>
  <c r="U46" i="11"/>
  <c r="U55" i="11"/>
  <c r="U61" i="11"/>
  <c r="U76" i="11"/>
  <c r="U87" i="11"/>
  <c r="U78" i="11"/>
  <c r="U74" i="11"/>
  <c r="U49" i="11"/>
  <c r="CI12" i="23"/>
  <c r="AL30" i="23"/>
  <c r="U65" i="11"/>
  <c r="U94" i="11"/>
  <c r="U66" i="11"/>
  <c r="P60" i="11"/>
  <c r="P66" i="11"/>
  <c r="P80" i="11"/>
  <c r="P63" i="11"/>
  <c r="P86" i="11"/>
  <c r="P83" i="11"/>
  <c r="P78" i="11"/>
  <c r="P87" i="11"/>
  <c r="P74" i="11"/>
  <c r="AD33" i="23"/>
  <c r="CD12" i="23"/>
  <c r="P56" i="11"/>
  <c r="P62" i="11"/>
  <c r="P68" i="11"/>
  <c r="P84" i="11"/>
  <c r="P70" i="11"/>
  <c r="P65" i="11"/>
  <c r="AM25" i="23"/>
  <c r="P85" i="11"/>
  <c r="P94" i="11"/>
  <c r="AG25" i="23"/>
  <c r="AU97" i="23" s="1"/>
  <c r="P82" i="11"/>
  <c r="P58" i="11"/>
  <c r="P64" i="11"/>
  <c r="P72" i="11"/>
  <c r="P55" i="11"/>
  <c r="P75" i="11"/>
  <c r="P69" i="11"/>
  <c r="AM27" i="23"/>
  <c r="P73" i="11"/>
  <c r="AI25" i="23"/>
  <c r="AU85" i="23" s="1"/>
  <c r="E27" i="23"/>
  <c r="P49" i="11"/>
  <c r="P59" i="11"/>
  <c r="P57" i="11"/>
  <c r="P76" i="11"/>
  <c r="P61" i="11"/>
  <c r="P81" i="11"/>
  <c r="P77" i="11"/>
  <c r="P71" i="11"/>
  <c r="P79" i="11"/>
  <c r="AE25" i="23"/>
  <c r="AS90" i="23" s="1"/>
  <c r="P50" i="11"/>
  <c r="P46" i="11"/>
  <c r="O62" i="11"/>
  <c r="O82" i="11"/>
  <c r="O61" i="11"/>
  <c r="O73" i="11"/>
  <c r="O69" i="11"/>
  <c r="O72" i="11"/>
  <c r="O76" i="11"/>
  <c r="O77" i="11"/>
  <c r="O71" i="11"/>
  <c r="AM26" i="23"/>
  <c r="O55" i="11"/>
  <c r="O70" i="11"/>
  <c r="O86" i="11"/>
  <c r="O63" i="11"/>
  <c r="O79" i="11"/>
  <c r="O75" i="11"/>
  <c r="O83" i="11"/>
  <c r="O87" i="11"/>
  <c r="AI24" i="23"/>
  <c r="O81" i="11"/>
  <c r="O49" i="11"/>
  <c r="O56" i="11"/>
  <c r="O74" i="11"/>
  <c r="O57" i="11"/>
  <c r="O64" i="11"/>
  <c r="O84" i="11"/>
  <c r="O80" i="11"/>
  <c r="O50" i="11"/>
  <c r="AM24" i="23"/>
  <c r="AD23" i="23"/>
  <c r="AE24" i="23"/>
  <c r="AS89" i="23" s="1"/>
  <c r="O46" i="11"/>
  <c r="O59" i="11"/>
  <c r="O78" i="11"/>
  <c r="O60" i="11"/>
  <c r="O68" i="11"/>
  <c r="O65" i="11"/>
  <c r="O85" i="11"/>
  <c r="AG24" i="23"/>
  <c r="AX95" i="23" s="1"/>
  <c r="O67" i="11"/>
  <c r="E19" i="23"/>
  <c r="O94" i="11"/>
  <c r="CC12" i="23"/>
  <c r="E60" i="11"/>
  <c r="E76" i="11"/>
  <c r="E63" i="11"/>
  <c r="E85" i="11"/>
  <c r="E75" i="11"/>
  <c r="E67" i="11"/>
  <c r="E82" i="11"/>
  <c r="E66" i="11"/>
  <c r="AG13" i="23"/>
  <c r="BA27" i="23" s="1"/>
  <c r="C15" i="23"/>
  <c r="E64" i="11"/>
  <c r="E80" i="11"/>
  <c r="E69" i="11"/>
  <c r="E59" i="11"/>
  <c r="E81" i="11"/>
  <c r="E78" i="11"/>
  <c r="E77" i="11"/>
  <c r="E87" i="11"/>
  <c r="E73" i="11"/>
  <c r="E49" i="11"/>
  <c r="E48" i="11" s="1"/>
  <c r="E68" i="11"/>
  <c r="E84" i="11"/>
  <c r="E74" i="11"/>
  <c r="E65" i="11"/>
  <c r="E86" i="11"/>
  <c r="E61" i="11"/>
  <c r="E62" i="11"/>
  <c r="E94" i="11"/>
  <c r="AE13" i="23"/>
  <c r="AS24" i="23" s="1"/>
  <c r="E55" i="11"/>
  <c r="E72" i="11"/>
  <c r="E58" i="11"/>
  <c r="E79" i="11"/>
  <c r="E70" i="11"/>
  <c r="E57" i="11"/>
  <c r="E71" i="11"/>
  <c r="E83" i="11"/>
  <c r="AI13" i="23"/>
  <c r="E50" i="11"/>
  <c r="AD57" i="11"/>
  <c r="AD62" i="11"/>
  <c r="AD60" i="11"/>
  <c r="AD78" i="11"/>
  <c r="AD70" i="11"/>
  <c r="AD94" i="11"/>
  <c r="AN41" i="23"/>
  <c r="AD86" i="11"/>
  <c r="AN40" i="23"/>
  <c r="CR12" i="23"/>
  <c r="AD61" i="11"/>
  <c r="AD63" i="11"/>
  <c r="AD68" i="11"/>
  <c r="AD80" i="11"/>
  <c r="AD74" i="11"/>
  <c r="AD66" i="11"/>
  <c r="AD71" i="11"/>
  <c r="AD50" i="11"/>
  <c r="I35" i="23"/>
  <c r="AD49" i="11"/>
  <c r="AD48" i="11" s="1"/>
  <c r="AD59" i="11"/>
  <c r="AD56" i="11"/>
  <c r="AD64" i="11"/>
  <c r="AD72" i="11"/>
  <c r="AD84" i="11"/>
  <c r="AD75" i="11"/>
  <c r="AD67" i="11"/>
  <c r="AD73" i="11"/>
  <c r="AD87" i="11"/>
  <c r="AD82" i="11"/>
  <c r="AD46" i="11"/>
  <c r="AD55" i="11"/>
  <c r="AD58" i="11"/>
  <c r="AD65" i="11"/>
  <c r="AD76" i="11"/>
  <c r="AD69" i="11"/>
  <c r="AD85" i="11"/>
  <c r="AD83" i="11"/>
  <c r="AD79" i="11"/>
  <c r="AD77" i="11"/>
  <c r="AG41" i="23"/>
  <c r="BA164" i="23" s="1"/>
  <c r="AZ159" i="23"/>
  <c r="AG57" i="11"/>
  <c r="AG63" i="11"/>
  <c r="AG65" i="11"/>
  <c r="AG73" i="11"/>
  <c r="AG68" i="11"/>
  <c r="AG72" i="11"/>
  <c r="AG85" i="11"/>
  <c r="AG83" i="11"/>
  <c r="AG50" i="11"/>
  <c r="AG74" i="11"/>
  <c r="BG145" i="23"/>
  <c r="AG58" i="11"/>
  <c r="AG59" i="11"/>
  <c r="AG67" i="11"/>
  <c r="AG75" i="11"/>
  <c r="AG86" i="11"/>
  <c r="AG77" i="11"/>
  <c r="AD46" i="23"/>
  <c r="AI45" i="23"/>
  <c r="AI44" i="23" s="1"/>
  <c r="AG76" i="11"/>
  <c r="AG70" i="11"/>
  <c r="CU12" i="23"/>
  <c r="AG56" i="11"/>
  <c r="AG60" i="11"/>
  <c r="AG69" i="11"/>
  <c r="AG66" i="11"/>
  <c r="AG94" i="11"/>
  <c r="AG79" i="11"/>
  <c r="AG78" i="11"/>
  <c r="AE45" i="23"/>
  <c r="BE147" i="23" s="1"/>
  <c r="AG80" i="11"/>
  <c r="AG49" i="11"/>
  <c r="AG46" i="11"/>
  <c r="AG55" i="11"/>
  <c r="AG61" i="11"/>
  <c r="AG64" i="11"/>
  <c r="AG71" i="11"/>
  <c r="AG62" i="11"/>
  <c r="AG87" i="11"/>
  <c r="AG82" i="11"/>
  <c r="AG81" i="11"/>
  <c r="K27" i="23"/>
  <c r="AG45" i="23"/>
  <c r="BH152" i="23" s="1"/>
  <c r="BF155" i="23"/>
  <c r="AH46" i="11"/>
  <c r="AB62" i="11"/>
  <c r="AB61" i="11"/>
  <c r="AB70" i="11"/>
  <c r="AB65" i="11"/>
  <c r="AB82" i="11"/>
  <c r="AB87" i="11"/>
  <c r="AB78" i="11"/>
  <c r="AG39" i="23"/>
  <c r="BB152" i="23" s="1"/>
  <c r="AB50" i="11"/>
  <c r="AE39" i="23"/>
  <c r="AY147" i="23" s="1"/>
  <c r="AB46" i="11"/>
  <c r="AB56" i="11"/>
  <c r="AB64" i="11"/>
  <c r="AB63" i="11"/>
  <c r="AB72" i="11"/>
  <c r="AB67" i="11"/>
  <c r="AB86" i="11"/>
  <c r="AB71" i="11"/>
  <c r="AB80" i="11"/>
  <c r="AB94" i="11"/>
  <c r="AC46" i="11"/>
  <c r="AB49" i="11"/>
  <c r="CP12" i="23"/>
  <c r="AB57" i="11"/>
  <c r="AB58" i="11"/>
  <c r="AB66" i="11"/>
  <c r="AB74" i="11"/>
  <c r="AB69" i="11"/>
  <c r="AB77" i="11"/>
  <c r="AB73" i="11"/>
  <c r="AB84" i="11"/>
  <c r="AD40" i="23"/>
  <c r="AB81" i="11"/>
  <c r="BA145" i="23"/>
  <c r="AB60" i="11"/>
  <c r="AB59" i="11"/>
  <c r="AB68" i="11"/>
  <c r="AB55" i="11"/>
  <c r="AB75" i="11"/>
  <c r="AB83" i="11"/>
  <c r="AB76" i="11"/>
  <c r="AB85" i="11"/>
  <c r="I27" i="23"/>
  <c r="AI39" i="23"/>
  <c r="AI38" i="23" s="1"/>
  <c r="AZ155" i="23"/>
  <c r="AH59" i="11"/>
  <c r="AH58" i="11"/>
  <c r="AH65" i="11"/>
  <c r="AH70" i="11"/>
  <c r="AH78" i="11"/>
  <c r="AH62" i="11"/>
  <c r="AH73" i="11"/>
  <c r="AH87" i="11"/>
  <c r="AH83" i="11"/>
  <c r="AH50" i="11"/>
  <c r="BF153" i="23"/>
  <c r="AH55" i="11"/>
  <c r="AH61" i="11"/>
  <c r="AH66" i="11"/>
  <c r="AH74" i="11"/>
  <c r="AH80" i="11"/>
  <c r="AH68" i="11"/>
  <c r="AH64" i="11"/>
  <c r="AM46" i="23"/>
  <c r="AE46" i="23"/>
  <c r="BE157" i="23" s="1"/>
  <c r="AG46" i="23"/>
  <c r="BH158" i="23" s="1"/>
  <c r="AH57" i="11"/>
  <c r="AH63" i="11"/>
  <c r="AH67" i="11"/>
  <c r="AH75" i="11"/>
  <c r="AH82" i="11"/>
  <c r="AH94" i="11"/>
  <c r="AH72" i="11"/>
  <c r="AH79" i="11"/>
  <c r="AM47" i="23"/>
  <c r="AH86" i="11"/>
  <c r="AH56" i="11"/>
  <c r="AH60" i="11"/>
  <c r="AH69" i="11"/>
  <c r="AH76" i="11"/>
  <c r="AH84" i="11"/>
  <c r="AH71" i="11"/>
  <c r="AH77" i="11"/>
  <c r="AH81" i="11"/>
  <c r="K31" i="23"/>
  <c r="AH49" i="11"/>
  <c r="AA59" i="11"/>
  <c r="AA63" i="11"/>
  <c r="AA62" i="11"/>
  <c r="AA68" i="11"/>
  <c r="AA81" i="11"/>
  <c r="AA70" i="11"/>
  <c r="AA69" i="11"/>
  <c r="AA83" i="11"/>
  <c r="AA55" i="11"/>
  <c r="AA57" i="11"/>
  <c r="AA66" i="11"/>
  <c r="AA77" i="11"/>
  <c r="AA71" i="11"/>
  <c r="AA85" i="11"/>
  <c r="AA86" i="11"/>
  <c r="AA74" i="11"/>
  <c r="AE38" i="23"/>
  <c r="AY136" i="23" s="1"/>
  <c r="AA49" i="11"/>
  <c r="AA48" i="11" s="1"/>
  <c r="AA56" i="11"/>
  <c r="AA60" i="11"/>
  <c r="AA67" i="11"/>
  <c r="AA80" i="11"/>
  <c r="AA73" i="11"/>
  <c r="AA65" i="11"/>
  <c r="AA87" i="11"/>
  <c r="AA50" i="11"/>
  <c r="AA46" i="11"/>
  <c r="AA58" i="11"/>
  <c r="AA64" i="11"/>
  <c r="AA61" i="11"/>
  <c r="AA84" i="11"/>
  <c r="AA76" i="11"/>
  <c r="AA72" i="11"/>
  <c r="AF38" i="23"/>
  <c r="BA136" i="23" s="1"/>
  <c r="I11" i="23"/>
  <c r="AA75" i="11"/>
  <c r="CO12" i="23"/>
  <c r="AG38" i="23"/>
  <c r="BA141" i="23" s="1"/>
  <c r="AA94" i="11"/>
  <c r="AH39" i="23"/>
  <c r="AJ42" i="23"/>
  <c r="AA82" i="11"/>
  <c r="AA79" i="11"/>
  <c r="AC58" i="11"/>
  <c r="AC60" i="11"/>
  <c r="AC71" i="11"/>
  <c r="AC64" i="11"/>
  <c r="AC74" i="11"/>
  <c r="AC83" i="11"/>
  <c r="AC79" i="11"/>
  <c r="AM41" i="23"/>
  <c r="AC85" i="11"/>
  <c r="AC72" i="11"/>
  <c r="AC61" i="11"/>
  <c r="AC65" i="11"/>
  <c r="AC73" i="11"/>
  <c r="AC59" i="11"/>
  <c r="AC82" i="11"/>
  <c r="AC87" i="11"/>
  <c r="AC78" i="11"/>
  <c r="AC76" i="11"/>
  <c r="AM40" i="23"/>
  <c r="AC49" i="11"/>
  <c r="AC48" i="11" s="1"/>
  <c r="AC55" i="11"/>
  <c r="AC63" i="11"/>
  <c r="AC67" i="11"/>
  <c r="AC75" i="11"/>
  <c r="AC66" i="11"/>
  <c r="AC86" i="11"/>
  <c r="AC68" i="11"/>
  <c r="AC81" i="11"/>
  <c r="AC84" i="11"/>
  <c r="I31" i="23"/>
  <c r="AZ153" i="23"/>
  <c r="AC57" i="11"/>
  <c r="AC56" i="11"/>
  <c r="AC69" i="11"/>
  <c r="AC62" i="11"/>
  <c r="AC70" i="11"/>
  <c r="AC94" i="11"/>
  <c r="AC77" i="11"/>
  <c r="AE40" i="23"/>
  <c r="AY157" i="23" s="1"/>
  <c r="AG40" i="23"/>
  <c r="BB158" i="23" s="1"/>
  <c r="AC50" i="11"/>
  <c r="Q55" i="11"/>
  <c r="Q61" i="11"/>
  <c r="Q64" i="11"/>
  <c r="Q76" i="11"/>
  <c r="Q66" i="11"/>
  <c r="Q71" i="11"/>
  <c r="Q81" i="11"/>
  <c r="Q75" i="11"/>
  <c r="Q85" i="11"/>
  <c r="Q49" i="11"/>
  <c r="Q48" i="11" s="1"/>
  <c r="Q94" i="11"/>
  <c r="Q57" i="11"/>
  <c r="Q63" i="11"/>
  <c r="Q65" i="11"/>
  <c r="Q80" i="11"/>
  <c r="Q73" i="11"/>
  <c r="Q79" i="11"/>
  <c r="Q87" i="11"/>
  <c r="Q82" i="11"/>
  <c r="AN24" i="23"/>
  <c r="Q70" i="11"/>
  <c r="Q58" i="11"/>
  <c r="Q59" i="11"/>
  <c r="Q67" i="11"/>
  <c r="Q84" i="11"/>
  <c r="Q78" i="11"/>
  <c r="Q86" i="11"/>
  <c r="AG26" i="23"/>
  <c r="AX99" i="23" s="1"/>
  <c r="Q77" i="11"/>
  <c r="AN26" i="23"/>
  <c r="AY96" i="23" s="1"/>
  <c r="CE12" i="23"/>
  <c r="Q56" i="11"/>
  <c r="Q60" i="11"/>
  <c r="Q72" i="11"/>
  <c r="Q62" i="11"/>
  <c r="Q83" i="11"/>
  <c r="Q74" i="11"/>
  <c r="Q69" i="11"/>
  <c r="Q50" i="11"/>
  <c r="E23" i="23"/>
  <c r="Q46" i="11"/>
  <c r="I64" i="11"/>
  <c r="I80" i="11"/>
  <c r="I69" i="11"/>
  <c r="I85" i="11"/>
  <c r="I83" i="11"/>
  <c r="I79" i="11"/>
  <c r="I63" i="11"/>
  <c r="I94" i="11"/>
  <c r="AN15" i="23"/>
  <c r="I50" i="11"/>
  <c r="I68" i="11"/>
  <c r="I84" i="11"/>
  <c r="I73" i="11"/>
  <c r="I58" i="11"/>
  <c r="I56" i="11"/>
  <c r="I62" i="11"/>
  <c r="I74" i="11"/>
  <c r="AG17" i="23"/>
  <c r="AU44" i="23" s="1"/>
  <c r="C35" i="23"/>
  <c r="I46" i="11"/>
  <c r="I55" i="11"/>
  <c r="I72" i="11"/>
  <c r="I61" i="11"/>
  <c r="I77" i="11"/>
  <c r="I67" i="11"/>
  <c r="I59" i="11"/>
  <c r="I71" i="11"/>
  <c r="I86" i="11"/>
  <c r="I66" i="11"/>
  <c r="I78" i="11"/>
  <c r="BW12" i="23"/>
  <c r="I57" i="11"/>
  <c r="I76" i="11"/>
  <c r="I65" i="11"/>
  <c r="I81" i="11"/>
  <c r="I75" i="11"/>
  <c r="I70" i="11"/>
  <c r="I82" i="11"/>
  <c r="I87" i="11"/>
  <c r="AN17" i="23"/>
  <c r="AU40" i="23" s="1"/>
  <c r="I49" i="11"/>
  <c r="I48" i="11" s="1"/>
  <c r="V59" i="11"/>
  <c r="V61" i="11"/>
  <c r="V82" i="11"/>
  <c r="V63" i="11"/>
  <c r="V69" i="11"/>
  <c r="V80" i="11"/>
  <c r="V55" i="11"/>
  <c r="V64" i="11"/>
  <c r="V86" i="11"/>
  <c r="V66" i="11"/>
  <c r="V79" i="11"/>
  <c r="V65" i="11"/>
  <c r="V85" i="11"/>
  <c r="V72" i="11"/>
  <c r="V83" i="11"/>
  <c r="V50" i="11"/>
  <c r="V49" i="11"/>
  <c r="V56" i="11"/>
  <c r="V62" i="11"/>
  <c r="V67" i="11"/>
  <c r="V84" i="11"/>
  <c r="V71" i="11"/>
  <c r="V76" i="11"/>
  <c r="AD44" i="23"/>
  <c r="BF136" i="23" s="1"/>
  <c r="AE32" i="23"/>
  <c r="AS136" i="23" s="1"/>
  <c r="V58" i="11"/>
  <c r="V78" i="11"/>
  <c r="V57" i="11"/>
  <c r="V60" i="11"/>
  <c r="AF32" i="23"/>
  <c r="AU136" i="23" s="1"/>
  <c r="V75" i="11"/>
  <c r="V81" i="11"/>
  <c r="G11" i="23"/>
  <c r="AD38" i="23"/>
  <c r="AZ136" i="23" s="1"/>
  <c r="V68" i="11"/>
  <c r="V87" i="11"/>
  <c r="V46" i="11"/>
  <c r="V70" i="11"/>
  <c r="CJ12" i="23"/>
  <c r="AG32" i="23"/>
  <c r="AU141" i="23" s="1"/>
  <c r="V94" i="11"/>
  <c r="AH33" i="23"/>
  <c r="AJ36" i="23"/>
  <c r="V74" i="11"/>
  <c r="V77" i="11"/>
  <c r="AI55" i="11"/>
  <c r="AI62" i="11"/>
  <c r="AI65" i="11"/>
  <c r="AI72" i="11"/>
  <c r="AI83" i="11"/>
  <c r="AI70" i="11"/>
  <c r="AI78" i="11"/>
  <c r="AI67" i="11"/>
  <c r="AI71" i="11"/>
  <c r="K35" i="23"/>
  <c r="BF159" i="23"/>
  <c r="AI57" i="11"/>
  <c r="AI63" i="11"/>
  <c r="AI58" i="11"/>
  <c r="AI77" i="11"/>
  <c r="AI85" i="11"/>
  <c r="AI74" i="11"/>
  <c r="AI80" i="11"/>
  <c r="AI94" i="11"/>
  <c r="AI73" i="11"/>
  <c r="AI50" i="11"/>
  <c r="CW12" i="23"/>
  <c r="AI60" i="11"/>
  <c r="AI64" i="11"/>
  <c r="AI68" i="11"/>
  <c r="AI79" i="11"/>
  <c r="AI66" i="11"/>
  <c r="AI75" i="11"/>
  <c r="AI82" i="11"/>
  <c r="AN46" i="23"/>
  <c r="AI87" i="11"/>
  <c r="AI49" i="11"/>
  <c r="AI48" i="11" s="1"/>
  <c r="AI56" i="11"/>
  <c r="AI61" i="11"/>
  <c r="AI59" i="11"/>
  <c r="AI81" i="11"/>
  <c r="AI69" i="11"/>
  <c r="AI76" i="11"/>
  <c r="AI84" i="11"/>
  <c r="AG47" i="23"/>
  <c r="BG164" i="23" s="1"/>
  <c r="AN47" i="23"/>
  <c r="AI46" i="11"/>
  <c r="T62" i="11"/>
  <c r="T76" i="11"/>
  <c r="T57" i="11"/>
  <c r="T77" i="11"/>
  <c r="T73" i="11"/>
  <c r="T74" i="11"/>
  <c r="T81" i="11"/>
  <c r="T69" i="11"/>
  <c r="T49" i="11"/>
  <c r="T64" i="11"/>
  <c r="T68" i="11"/>
  <c r="T80" i="11"/>
  <c r="T63" i="11"/>
  <c r="T82" i="11"/>
  <c r="T78" i="11"/>
  <c r="T79" i="11"/>
  <c r="T86" i="11"/>
  <c r="CH12" i="23"/>
  <c r="T56" i="11"/>
  <c r="T58" i="11"/>
  <c r="T70" i="11"/>
  <c r="T84" i="11"/>
  <c r="T87" i="11"/>
  <c r="T83" i="11"/>
  <c r="T85" i="11"/>
  <c r="AG29" i="23"/>
  <c r="BH91" i="23" s="1"/>
  <c r="AK29" i="23"/>
  <c r="BH84" i="23" s="1"/>
  <c r="T46" i="11"/>
  <c r="T60" i="11"/>
  <c r="T61" i="11"/>
  <c r="T72" i="11"/>
  <c r="T55" i="11"/>
  <c r="T67" i="11"/>
  <c r="T50" i="11"/>
  <c r="T59" i="11"/>
  <c r="E43" i="23"/>
  <c r="T75" i="11"/>
  <c r="AL29" i="23"/>
  <c r="T65" i="11"/>
  <c r="T94" i="11"/>
  <c r="T66" i="11"/>
  <c r="R55" i="11"/>
  <c r="R61" i="11"/>
  <c r="R78" i="11"/>
  <c r="R60" i="11"/>
  <c r="R67" i="11"/>
  <c r="R83" i="11"/>
  <c r="R84" i="11"/>
  <c r="R75" i="11"/>
  <c r="AG27" i="23"/>
  <c r="AU108" i="23" s="1"/>
  <c r="R49" i="11"/>
  <c r="R48" i="11" s="1"/>
  <c r="R57" i="11"/>
  <c r="R63" i="11"/>
  <c r="R82" i="11"/>
  <c r="R62" i="11"/>
  <c r="R68" i="11"/>
  <c r="AN27" i="23"/>
  <c r="AU104" i="23" s="1"/>
  <c r="R94" i="11"/>
  <c r="R80" i="11"/>
  <c r="R71" i="11"/>
  <c r="E35" i="23"/>
  <c r="R56" i="11"/>
  <c r="R70" i="11"/>
  <c r="R86" i="11"/>
  <c r="R64" i="11"/>
  <c r="R72" i="11"/>
  <c r="R73" i="11"/>
  <c r="AN25" i="23"/>
  <c r="R85" i="11"/>
  <c r="R76" i="11"/>
  <c r="CF12" i="23"/>
  <c r="R59" i="11"/>
  <c r="R58" i="11"/>
  <c r="R74" i="11"/>
  <c r="R65" i="11"/>
  <c r="R66" i="11"/>
  <c r="R77" i="11"/>
  <c r="R79" i="11"/>
  <c r="R50" i="11"/>
  <c r="R87" i="11"/>
  <c r="R81" i="11"/>
  <c r="R46" i="11"/>
  <c r="Z56" i="11"/>
  <c r="Z60" i="11"/>
  <c r="Z71" i="11"/>
  <c r="Z84" i="11"/>
  <c r="Z67" i="11"/>
  <c r="Z75" i="11"/>
  <c r="Z79" i="11"/>
  <c r="G47" i="23"/>
  <c r="Z46" i="11"/>
  <c r="Z59" i="11"/>
  <c r="Z62" i="11"/>
  <c r="Z57" i="11"/>
  <c r="Z73" i="11"/>
  <c r="Z72" i="11"/>
  <c r="AK36" i="23"/>
  <c r="AK32" i="23" s="1"/>
  <c r="Z69" i="11"/>
  <c r="Z78" i="11"/>
  <c r="Z50" i="11"/>
  <c r="Z87" i="11"/>
  <c r="AX144" i="23"/>
  <c r="Z55" i="11"/>
  <c r="Z58" i="11"/>
  <c r="Z65" i="11"/>
  <c r="Z76" i="11"/>
  <c r="Z81" i="11"/>
  <c r="Z70" i="11"/>
  <c r="Z82" i="11"/>
  <c r="Z63" i="11"/>
  <c r="AG36" i="23"/>
  <c r="AX151" i="23" s="1"/>
  <c r="CN12" i="23"/>
  <c r="Z61" i="11"/>
  <c r="Z66" i="11"/>
  <c r="Z68" i="11"/>
  <c r="Z80" i="11"/>
  <c r="Z85" i="11"/>
  <c r="Z64" i="11"/>
  <c r="Z86" i="11"/>
  <c r="Z83" i="11"/>
  <c r="Z49" i="11"/>
  <c r="Z48" i="11" s="1"/>
  <c r="AL36" i="23"/>
  <c r="AL33" i="23" s="1"/>
  <c r="AV147" i="23" s="1"/>
  <c r="Z94" i="11"/>
  <c r="Z74" i="11"/>
  <c r="AF60" i="11"/>
  <c r="AF68" i="11"/>
  <c r="AF55" i="11"/>
  <c r="AF86" i="11"/>
  <c r="AF77" i="11"/>
  <c r="AF76" i="11"/>
  <c r="AF75" i="11"/>
  <c r="K11" i="23"/>
  <c r="AF56" i="11"/>
  <c r="AF62" i="11"/>
  <c r="AF70" i="11"/>
  <c r="AF61" i="11"/>
  <c r="AF67" i="11"/>
  <c r="AF79" i="11"/>
  <c r="AF78" i="11"/>
  <c r="AF85" i="11"/>
  <c r="AE44" i="23"/>
  <c r="BE136" i="23" s="1"/>
  <c r="AF50" i="11"/>
  <c r="AF49" i="11"/>
  <c r="AF58" i="11"/>
  <c r="AF64" i="11"/>
  <c r="AF72" i="11"/>
  <c r="AF57" i="11"/>
  <c r="AF71" i="11"/>
  <c r="AF81" i="11"/>
  <c r="AF80" i="11"/>
  <c r="AF65" i="11"/>
  <c r="AF46" i="11"/>
  <c r="AF59" i="11"/>
  <c r="AF66" i="11"/>
  <c r="AF74" i="11"/>
  <c r="AF63" i="11"/>
  <c r="AF73" i="11"/>
  <c r="AF69" i="11"/>
  <c r="AF44" i="23"/>
  <c r="BG136" i="23" s="1"/>
  <c r="AF82" i="11"/>
  <c r="CT12" i="23"/>
  <c r="AG44" i="23"/>
  <c r="BG141" i="23" s="1"/>
  <c r="AF94" i="11"/>
  <c r="AJ48" i="23"/>
  <c r="AH45" i="23"/>
  <c r="AF87" i="11"/>
  <c r="AF84" i="11"/>
  <c r="N59" i="11"/>
  <c r="N66" i="11"/>
  <c r="N82" i="11"/>
  <c r="N57" i="11"/>
  <c r="N78" i="11"/>
  <c r="N62" i="11"/>
  <c r="N73" i="11"/>
  <c r="N69" i="11"/>
  <c r="N71" i="11"/>
  <c r="N67" i="11"/>
  <c r="N94" i="11"/>
  <c r="N50" i="11"/>
  <c r="CB12" i="23"/>
  <c r="N61" i="11"/>
  <c r="N86" i="11"/>
  <c r="N63" i="11"/>
  <c r="N79" i="11"/>
  <c r="N75" i="11"/>
  <c r="N76" i="11"/>
  <c r="AE23" i="23"/>
  <c r="AS88" i="23" s="1"/>
  <c r="AI23" i="23"/>
  <c r="E15" i="23"/>
  <c r="N70" i="11"/>
  <c r="N56" i="11"/>
  <c r="N64" i="11"/>
  <c r="N84" i="11"/>
  <c r="N80" i="11"/>
  <c r="N81" i="11"/>
  <c r="AD24" i="23"/>
  <c r="AG23" i="23"/>
  <c r="BA91" i="23" s="1"/>
  <c r="N83" i="11"/>
  <c r="N55" i="11"/>
  <c r="N74" i="11"/>
  <c r="N60" i="11"/>
  <c r="N68" i="11"/>
  <c r="N58" i="11"/>
  <c r="N85" i="11"/>
  <c r="N87" i="11"/>
  <c r="N72" i="11"/>
  <c r="N77" i="11"/>
  <c r="N49" i="11"/>
  <c r="N48" i="11" s="1"/>
  <c r="K55" i="11"/>
  <c r="K70" i="11"/>
  <c r="K86" i="11"/>
  <c r="K68" i="11"/>
  <c r="K61" i="11"/>
  <c r="K64" i="11"/>
  <c r="K65" i="11"/>
  <c r="K81" i="11"/>
  <c r="K67" i="11"/>
  <c r="K50" i="11"/>
  <c r="BY12" i="23"/>
  <c r="K74" i="11"/>
  <c r="K58" i="11"/>
  <c r="K73" i="11"/>
  <c r="K69" i="11"/>
  <c r="K71" i="11"/>
  <c r="K72" i="11"/>
  <c r="K75" i="11"/>
  <c r="C43" i="23"/>
  <c r="K59" i="11"/>
  <c r="K78" i="11"/>
  <c r="K60" i="11"/>
  <c r="K79" i="11"/>
  <c r="K76" i="11"/>
  <c r="K77" i="11"/>
  <c r="K80" i="11"/>
  <c r="AG19" i="23"/>
  <c r="BF27" i="23" s="1"/>
  <c r="K49" i="11"/>
  <c r="K66" i="11"/>
  <c r="K82" i="11"/>
  <c r="K63" i="11"/>
  <c r="K84" i="11"/>
  <c r="K83" i="11"/>
  <c r="K85" i="11"/>
  <c r="K87" i="11"/>
  <c r="AK19" i="23"/>
  <c r="BH20" i="23" s="1"/>
  <c r="K46" i="11"/>
  <c r="K56" i="11"/>
  <c r="K94" i="11"/>
  <c r="AL19" i="23"/>
  <c r="K57" i="11"/>
  <c r="W57" i="11"/>
  <c r="W63" i="11"/>
  <c r="W60" i="11"/>
  <c r="W64" i="11"/>
  <c r="W70" i="11"/>
  <c r="W79" i="11"/>
  <c r="W75" i="11"/>
  <c r="AI33" i="23"/>
  <c r="AI32" i="23" s="1"/>
  <c r="AE33" i="23"/>
  <c r="AS147" i="23" s="1"/>
  <c r="AG33" i="23"/>
  <c r="AV152" i="23" s="1"/>
  <c r="X46" i="11"/>
  <c r="AU145" i="23"/>
  <c r="W56" i="11"/>
  <c r="W78" i="11"/>
  <c r="W61" i="11"/>
  <c r="W66" i="11"/>
  <c r="W77" i="11"/>
  <c r="W84" i="11"/>
  <c r="W80" i="11"/>
  <c r="AD39" i="23"/>
  <c r="G27" i="23"/>
  <c r="AD45" i="23"/>
  <c r="W46" i="11"/>
  <c r="CK12" i="23"/>
  <c r="W58" i="11"/>
  <c r="W82" i="11"/>
  <c r="W65" i="11"/>
  <c r="W67" i="11"/>
  <c r="W83" i="11"/>
  <c r="W71" i="11"/>
  <c r="W85" i="11"/>
  <c r="W68" i="11"/>
  <c r="W72" i="11"/>
  <c r="W50" i="11"/>
  <c r="W94" i="11"/>
  <c r="AT155" i="23"/>
  <c r="W55" i="11"/>
  <c r="W59" i="11"/>
  <c r="W86" i="11"/>
  <c r="W62" i="11"/>
  <c r="W69" i="11"/>
  <c r="AD25" i="23"/>
  <c r="W73" i="11"/>
  <c r="W76" i="11"/>
  <c r="W81" i="11"/>
  <c r="W87" i="11"/>
  <c r="AD34" i="23"/>
  <c r="W49" i="11"/>
  <c r="F70" i="11"/>
  <c r="F86" i="11"/>
  <c r="F65" i="11"/>
  <c r="F87" i="11"/>
  <c r="F77" i="11"/>
  <c r="F80" i="11"/>
  <c r="F64" i="11"/>
  <c r="F50" i="11"/>
  <c r="AI14" i="23"/>
  <c r="AX21" i="23" s="1"/>
  <c r="BT12" i="23"/>
  <c r="F83" i="11"/>
  <c r="C19" i="23"/>
  <c r="F56" i="11"/>
  <c r="F67" i="11"/>
  <c r="F68" i="11"/>
  <c r="F49" i="11"/>
  <c r="F58" i="11"/>
  <c r="F74" i="11"/>
  <c r="F55" i="11"/>
  <c r="F71" i="11"/>
  <c r="F61" i="11"/>
  <c r="F63" i="11"/>
  <c r="F84" i="11"/>
  <c r="AD15" i="23"/>
  <c r="F73" i="11"/>
  <c r="F62" i="11"/>
  <c r="F78" i="11"/>
  <c r="F76" i="11"/>
  <c r="AD13" i="23"/>
  <c r="F66" i="11"/>
  <c r="F82" i="11"/>
  <c r="F60" i="11"/>
  <c r="F81" i="11"/>
  <c r="F72" i="11"/>
  <c r="F69" i="11"/>
  <c r="F79" i="11"/>
  <c r="F85" i="11"/>
  <c r="F94" i="11"/>
  <c r="AG14" i="23"/>
  <c r="AX31" i="23" s="1"/>
  <c r="F46" i="11"/>
  <c r="F75" i="11"/>
  <c r="AM14" i="23"/>
  <c r="AM16" i="23"/>
  <c r="F59" i="11"/>
  <c r="S60" i="11"/>
  <c r="S86" i="11"/>
  <c r="S59" i="11"/>
  <c r="S84" i="11"/>
  <c r="AK28" i="23"/>
  <c r="S71" i="11"/>
  <c r="S62" i="11"/>
  <c r="S49" i="11"/>
  <c r="S74" i="11"/>
  <c r="S56" i="11"/>
  <c r="S68" i="11"/>
  <c r="S75" i="11"/>
  <c r="AG28" i="23"/>
  <c r="BD91" i="23" s="1"/>
  <c r="S76" i="11"/>
  <c r="S72" i="11"/>
  <c r="S83" i="11"/>
  <c r="S46" i="11"/>
  <c r="S55" i="11"/>
  <c r="S78" i="11"/>
  <c r="S73" i="11"/>
  <c r="S61" i="11"/>
  <c r="S80" i="11"/>
  <c r="S63" i="11"/>
  <c r="S81" i="11"/>
  <c r="E39" i="23"/>
  <c r="S50" i="11"/>
  <c r="CG12" i="23"/>
  <c r="S57" i="11"/>
  <c r="S82" i="11"/>
  <c r="S58" i="11"/>
  <c r="S79" i="11"/>
  <c r="S64" i="11"/>
  <c r="S85" i="11"/>
  <c r="S69" i="11"/>
  <c r="S87" i="11"/>
  <c r="S77" i="11"/>
  <c r="S67" i="11"/>
  <c r="S65" i="11"/>
  <c r="AL28" i="23"/>
  <c r="S94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49" i="1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U48" i="11" l="1"/>
  <c r="S48" i="11"/>
  <c r="AE48" i="11"/>
  <c r="H48" i="11"/>
  <c r="L48" i="11"/>
  <c r="AF48" i="11"/>
  <c r="V48" i="11"/>
  <c r="AB48" i="11"/>
  <c r="K48" i="11"/>
  <c r="AG48" i="11"/>
  <c r="AH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AO15" i="23"/>
  <c r="F48" i="11"/>
  <c r="C21" i="23"/>
  <c r="C20" i="23"/>
  <c r="AE14" i="23"/>
  <c r="AS25" i="23" s="1"/>
  <c r="F51" i="11"/>
  <c r="S19" i="23" s="1"/>
  <c r="M19" i="23"/>
  <c r="W48" i="11"/>
  <c r="AO39" i="23"/>
  <c r="AZ147" i="23"/>
  <c r="E17" i="23"/>
  <c r="E16" i="23"/>
  <c r="BG147" i="23"/>
  <c r="AH44" i="23"/>
  <c r="E36" i="23"/>
  <c r="E37" i="23"/>
  <c r="T48" i="11"/>
  <c r="O11" i="23"/>
  <c r="V51" i="11"/>
  <c r="U11" i="23" s="1"/>
  <c r="AA51" i="11"/>
  <c r="V11" i="23" s="1"/>
  <c r="P11" i="23"/>
  <c r="AO40" i="23"/>
  <c r="AZ157" i="23"/>
  <c r="AG51" i="11"/>
  <c r="W27" i="23" s="1"/>
  <c r="Q27" i="23"/>
  <c r="Q28" i="23" s="1"/>
  <c r="Q29" i="23" s="1"/>
  <c r="BA175" i="23"/>
  <c r="I36" i="23"/>
  <c r="I37" i="23"/>
  <c r="AI12" i="23"/>
  <c r="BA21" i="23"/>
  <c r="D55" i="11"/>
  <c r="C17" i="23"/>
  <c r="C16" i="23"/>
  <c r="E21" i="23"/>
  <c r="E20" i="23"/>
  <c r="O48" i="11"/>
  <c r="P48" i="11"/>
  <c r="AU106" i="23"/>
  <c r="K48" i="23"/>
  <c r="K49" i="23"/>
  <c r="BB176" i="23"/>
  <c r="AH22" i="23"/>
  <c r="BA87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G37" i="23"/>
  <c r="G36" i="23"/>
  <c r="AZ175" i="23"/>
  <c r="AL14" i="23"/>
  <c r="AY23" i="23" s="1"/>
  <c r="AL13" i="23"/>
  <c r="BB23" i="23" s="1"/>
  <c r="J51" i="11"/>
  <c r="S39" i="23" s="1"/>
  <c r="AF18" i="23"/>
  <c r="BD47" i="23" s="1"/>
  <c r="M41" i="23"/>
  <c r="M40" i="23" s="1"/>
  <c r="M39" i="23"/>
  <c r="AZ57" i="23" s="1"/>
  <c r="G58" i="11"/>
  <c r="G93" i="11" s="1"/>
  <c r="J61" i="11"/>
  <c r="J92" i="11" s="1"/>
  <c r="BA23" i="23"/>
  <c r="AH12" i="23"/>
  <c r="AG49" i="23"/>
  <c r="AX8" i="23"/>
  <c r="R69" i="11"/>
  <c r="R93" i="11" s="1"/>
  <c r="D51" i="11"/>
  <c r="S11" i="23" s="1"/>
  <c r="M11" i="23"/>
  <c r="AI86" i="11"/>
  <c r="AI93" i="11" s="1"/>
  <c r="AC80" i="11"/>
  <c r="AC93" i="11" s="1"/>
  <c r="S70" i="11"/>
  <c r="S92" i="11" s="1"/>
  <c r="I60" i="11"/>
  <c r="I92" i="11" s="1"/>
  <c r="X75" i="11"/>
  <c r="X92" i="11" s="1"/>
  <c r="AL23" i="23"/>
  <c r="BB87" i="23" s="1"/>
  <c r="AL24" i="23"/>
  <c r="AO24" i="23" s="1"/>
  <c r="AY34" i="23"/>
  <c r="AT157" i="23"/>
  <c r="AO34" i="23"/>
  <c r="AX89" i="23"/>
  <c r="AI22" i="23"/>
  <c r="BA85" i="23"/>
  <c r="AJ44" i="23"/>
  <c r="BJ146" i="23"/>
  <c r="K13" i="23"/>
  <c r="K12" i="23"/>
  <c r="BB172" i="23"/>
  <c r="K51" i="23"/>
  <c r="L11" i="23" s="1"/>
  <c r="BH142" i="23" s="1"/>
  <c r="O47" i="23"/>
  <c r="Z51" i="11"/>
  <c r="U47" i="23" s="1"/>
  <c r="AF36" i="23"/>
  <c r="AX164" i="23" s="1"/>
  <c r="O49" i="23"/>
  <c r="O48" i="23" s="1"/>
  <c r="E44" i="23"/>
  <c r="E45" i="23"/>
  <c r="K36" i="23"/>
  <c r="K37" i="23"/>
  <c r="L37" i="23" s="1"/>
  <c r="BB175" i="23"/>
  <c r="AJ32" i="23"/>
  <c r="AX146" i="23"/>
  <c r="BA174" i="23"/>
  <c r="I33" i="23"/>
  <c r="I32" i="23"/>
  <c r="AJ38" i="23"/>
  <c r="BD146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AJ22" i="23"/>
  <c r="BD86" i="23"/>
  <c r="AT136" i="23"/>
  <c r="M27" i="23"/>
  <c r="G51" i="11"/>
  <c r="S27" i="23" s="1"/>
  <c r="X51" i="11"/>
  <c r="U31" i="23" s="1"/>
  <c r="O31" i="23"/>
  <c r="O32" i="23" s="1"/>
  <c r="O33" i="23" s="1"/>
  <c r="AT161" i="23"/>
  <c r="X48" i="11"/>
  <c r="AK12" i="23"/>
  <c r="BD20" i="23"/>
  <c r="J48" i="11"/>
  <c r="E56" i="11"/>
  <c r="E92" i="11" s="1"/>
  <c r="F11" i="20"/>
  <c r="G10" i="20" s="1"/>
  <c r="G11" i="20"/>
  <c r="G8" i="20"/>
  <c r="Z77" i="11"/>
  <c r="Z92" i="11" s="1"/>
  <c r="AG84" i="11"/>
  <c r="AG92" i="11" s="1"/>
  <c r="AS73" i="23"/>
  <c r="H59" i="11"/>
  <c r="H92" i="11" s="1"/>
  <c r="M64" i="11"/>
  <c r="M92" i="11" s="1"/>
  <c r="AD81" i="11"/>
  <c r="AD93" i="11" s="1"/>
  <c r="AB79" i="11"/>
  <c r="AB92" i="11" s="1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5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M51" i="11"/>
  <c r="T11" i="23" s="1"/>
  <c r="C28" i="23"/>
  <c r="C29" i="23"/>
  <c r="O35" i="23"/>
  <c r="AF35" i="23"/>
  <c r="AV164" i="23" s="1"/>
  <c r="Y51" i="11"/>
  <c r="U35" i="23" s="1"/>
  <c r="O37" i="23"/>
  <c r="O36" i="23" s="1"/>
  <c r="AZ174" i="23"/>
  <c r="G32" i="23"/>
  <c r="G33" i="23"/>
  <c r="J93" i="11"/>
  <c r="J95" i="11" s="1"/>
  <c r="K62" i="11"/>
  <c r="K92" i="11" s="1"/>
  <c r="BF21" i="23"/>
  <c r="BH22" i="23"/>
  <c r="T71" i="11"/>
  <c r="T93" i="11" s="1"/>
  <c r="P67" i="11"/>
  <c r="P93" i="11" s="1"/>
  <c r="Q68" i="11"/>
  <c r="Q93" i="11" s="1"/>
  <c r="AJ87" i="11"/>
  <c r="AJ92" i="11" s="1"/>
  <c r="O66" i="11"/>
  <c r="O93" i="11" s="1"/>
  <c r="C49" i="11"/>
  <c r="D48" i="11"/>
  <c r="C48" i="11" s="1"/>
  <c r="AH85" i="11"/>
  <c r="AH92" i="11" s="1"/>
  <c r="AF83" i="11"/>
  <c r="AF92" i="11" s="1"/>
  <c r="V73" i="11"/>
  <c r="V93" i="11" s="1"/>
  <c r="AO25" i="23"/>
  <c r="AU90" i="23"/>
  <c r="O27" i="23"/>
  <c r="O28" i="23" s="1"/>
  <c r="O29" i="23" s="1"/>
  <c r="W51" i="11"/>
  <c r="U27" i="23" s="1"/>
  <c r="AZ172" i="23"/>
  <c r="G51" i="23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BB174" i="23"/>
  <c r="K32" i="23"/>
  <c r="L32" i="23" s="1"/>
  <c r="L31" i="23"/>
  <c r="BH156" i="23" s="1"/>
  <c r="AB51" i="11"/>
  <c r="V27" i="23" s="1"/>
  <c r="P27" i="23"/>
  <c r="P28" i="23" s="1"/>
  <c r="P29" i="23" s="1"/>
  <c r="K29" i="23"/>
  <c r="L29" i="23" s="1"/>
  <c r="K28" i="23"/>
  <c r="L28" i="23" s="1"/>
  <c r="BB173" i="23"/>
  <c r="AO46" i="23"/>
  <c r="BF157" i="23"/>
  <c r="E51" i="11"/>
  <c r="S15" i="23" s="1"/>
  <c r="M15" i="23"/>
  <c r="AD14" i="23"/>
  <c r="AY98" i="23"/>
  <c r="AT147" i="23"/>
  <c r="AO33" i="23"/>
  <c r="AF42" i="23"/>
  <c r="BD164" i="23" s="1"/>
  <c r="AE51" i="11"/>
  <c r="V47" i="23" s="1"/>
  <c r="P49" i="23"/>
  <c r="P48" i="23" s="1"/>
  <c r="P47" i="23"/>
  <c r="E13" i="23"/>
  <c r="E12" i="23"/>
  <c r="E51" i="23"/>
  <c r="F39" i="23" s="1"/>
  <c r="BD96" i="23" s="1"/>
  <c r="C40" i="23"/>
  <c r="C41" i="23"/>
  <c r="F57" i="11"/>
  <c r="F92" i="11" s="1"/>
  <c r="L63" i="11"/>
  <c r="L93" i="11" s="1"/>
  <c r="AJ12" i="23"/>
  <c r="BD22" i="23"/>
  <c r="C94" i="11"/>
  <c r="AZ8" i="23"/>
  <c r="W74" i="11"/>
  <c r="W93" i="11" s="1"/>
  <c r="C46" i="11"/>
  <c r="AE82" i="11"/>
  <c r="AE92" i="11" s="1"/>
  <c r="N65" i="11"/>
  <c r="N93" i="11" s="1"/>
  <c r="C51" i="23"/>
  <c r="D27" i="23" s="1"/>
  <c r="AV37" i="23" s="1"/>
  <c r="C12" i="23"/>
  <c r="C13" i="23"/>
  <c r="Y76" i="11"/>
  <c r="Y93" i="11" s="1"/>
  <c r="AA78" i="11"/>
  <c r="AA92" i="11" s="1"/>
  <c r="U72" i="11"/>
  <c r="U92" i="11" s="1"/>
  <c r="AG93" i="11" l="1"/>
  <c r="L27" i="23"/>
  <c r="BH150" i="23" s="1"/>
  <c r="L33" i="23"/>
  <c r="AO38" i="23"/>
  <c r="AO16" i="23"/>
  <c r="X93" i="11"/>
  <c r="X95" i="11" s="1"/>
  <c r="M93" i="11"/>
  <c r="M95" i="11" s="1"/>
  <c r="AO26" i="23"/>
  <c r="AO23" i="23"/>
  <c r="AO44" i="23"/>
  <c r="Q92" i="11"/>
  <c r="Q95" i="11" s="1"/>
  <c r="T92" i="11"/>
  <c r="T95" i="11" s="1"/>
  <c r="S93" i="11"/>
  <c r="AB93" i="11"/>
  <c r="AB95" i="11" s="1"/>
  <c r="D13" i="23"/>
  <c r="N92" i="11"/>
  <c r="N95" i="11" s="1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S95" i="11"/>
  <c r="AO41" i="23"/>
  <c r="AO42" i="23" s="1"/>
  <c r="Y92" i="11"/>
  <c r="Y95" i="11" s="1"/>
  <c r="F11" i="23"/>
  <c r="AY75" i="23" s="1"/>
  <c r="O92" i="11"/>
  <c r="O95" i="11" s="1"/>
  <c r="H93" i="11"/>
  <c r="H95" i="11" s="1"/>
  <c r="AC92" i="11"/>
  <c r="AC95" i="11" s="1"/>
  <c r="AO12" i="23"/>
  <c r="J12" i="23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H12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H29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AX85" i="23"/>
  <c r="S41" i="23"/>
  <c r="S40" i="23"/>
  <c r="H36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L51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AO19" i="23" s="1"/>
  <c r="AO20" i="23" s="1"/>
  <c r="L47" i="23"/>
  <c r="BJ155" i="23" s="1"/>
  <c r="U93" i="11"/>
  <c r="U95" i="11" s="1"/>
  <c r="D16" i="23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D20" i="23"/>
  <c r="H49" i="23"/>
  <c r="H28" i="23"/>
  <c r="F41" i="23"/>
  <c r="S49" i="23"/>
  <c r="S48" i="23"/>
  <c r="T40" i="23"/>
  <c r="T41" i="23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<sst xmlns="http://schemas.openxmlformats.org/spreadsheetml/2006/main" count="14981" uniqueCount="4056">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</sst>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0E+00_)"/>
    <numFmt numFmtId="180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0" fontId="0" fillId="2" borderId="11" xfId="8" applyNumberFormat="1" applyFont="1" applyFill="1" applyBorder="1" applyAlignment="1" applyProtection="1">
      <alignment horizontal="right"/>
    </xf>
    <xf numFmtId="179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54" zoomScaleNormal="100" workbookViewId="0">
      <selection activeCell="I72" sqref="I72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1-Chloro-2-nitro-propane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304</v>
      </c>
      <c r="J6" s="400"/>
      <c r="K6" s="121">
        <f>VLOOKUP(ChemName,ChemData,26,FALSE)</f>
        <v>0</v>
      </c>
      <c r="L6" s="393">
        <f>IF(ISBLANK(I6),IF(ISBLANK(J6),K6,J6),I6)</f>
        <v>304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123.54</v>
      </c>
      <c r="K15" s="345">
        <f>MEDIAN(substances!F$17:F$283)</f>
        <v>138</v>
      </c>
      <c r="L15" s="346">
        <f>IF(ISBLANK(I15),IF(ISNUMBER(J15)=FALSE,K15/1000,J15/1000),I15/1000)</f>
        <v>0.12354000000000001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0.51837082369879672</v>
      </c>
      <c r="L17" s="346">
        <f t="shared" ref="L17:L23" si="0">IF(ISBLANK(I17), IF(ISNUMBER(J17)=FALSE, K17, J17), I17)</f>
        <v>0.51837082369879672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0.51837082369879672</v>
      </c>
      <c r="L18" s="346">
        <f t="shared" si="0"/>
        <v>0.51837082369879672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1.1551672360215958E-3</v>
      </c>
      <c r="L19" s="346">
        <f>IF(ISBLANK(I19), IF(ISNUMBER(J19)=FALSE, K19, J19), I19)</f>
        <v>1.1551672360215958E-3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13.489628825916535</v>
      </c>
      <c r="K20" s="345">
        <f>MEDIAN(substances!K$17:K$283)</f>
        <v>18</v>
      </c>
      <c r="L20" s="346">
        <f t="shared" si="0"/>
        <v>13.489628825916535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4.2657951880159251E-3</v>
      </c>
      <c r="L21" s="346">
        <f t="shared" si="0"/>
        <v>4.2657951880159251E-3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13.489628825916535</v>
      </c>
      <c r="L23" s="346">
        <f t="shared" si="0"/>
        <v>13.489628825916535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185.33333328699999</v>
      </c>
      <c r="K35" s="345">
        <f>MEDIAN(substances!$H$17:$H$283)</f>
        <v>4</v>
      </c>
      <c r="L35" s="346">
        <f t="shared" si="2"/>
        <v>185.33333328699999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50.051364059629961</v>
      </c>
      <c r="L36" s="346">
        <f>IF(ISBLANK(I36),IF(ISNUMBER(J36)=FALSE,K36*1000,J36*1000),I36*1000)</f>
        <v>50051.364059629959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8000</v>
      </c>
      <c r="K37" s="345">
        <f>10^(LOG(Kow)*-1.214+0.85)*(Molweight*1000000)</f>
        <v>37152.461858929193</v>
      </c>
      <c r="L37" s="346">
        <f>IF(ISBLANK(I37),IF(ISNUMBER(J37)=FALSE,K37/(1000*Molweight),J37/(1000*Molweight)),I37/(1000*Molweight))</f>
        <v>64.756354217257567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10.367416473975934</v>
      </c>
      <c r="J42" s="245">
        <f>1.26*Kow^0.81</f>
        <v>10.367416473975934</v>
      </c>
      <c r="K42" s="245">
        <f>MAX(IF(Pvap25&gt;100000,(100000/_Sol25)/(8.314*298),(Pvap25/_Sol25)/(8.314*298)),1E-20)</f>
        <v>1.1551672360215958E-3</v>
      </c>
      <c r="L42" s="245">
        <f>MAX(IF(Pvap25&gt;100000,(100000/_Sol25)/(8.314*298),(Pvap25/_Sol25)/(8.314*298)),1E-20)</f>
        <v>1.1551672360215958E-3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52.504919867476268</v>
      </c>
      <c r="J43" s="245">
        <f>10^(0.11*LOG(Kow)+1.54)</f>
        <v>46.163635154046773</v>
      </c>
      <c r="K43" s="245">
        <f>MAX(IF(Pvap25&gt;100000,(100000/_Sol25)/(8.314*298),(Pvap25/_Sol25)/(8.314*298)),1E-20)</f>
        <v>1.1551672360215958E-3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131.25020790002759</v>
      </c>
      <c r="J44" s="245">
        <f>IF(pKa&gt;0,10^(pKa^0.65*(Kow/(1+Kow))^0.14),1)</f>
        <v>3215.4503525867995</v>
      </c>
      <c r="K44" s="245">
        <f>MAX(IF(Pvap25&gt;100000,(100000/_Sol25)/(8.314*298),(Pvap25/_Sol25)/(8.314*298)),1E-20)</f>
        <v>1.1551672360215958E-3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10.367416473975934</v>
      </c>
      <c r="J46" s="245">
        <f>1.26*Kow^0.81</f>
        <v>10.367416473975934</v>
      </c>
      <c r="K46" s="245">
        <f t="shared" ref="K46:L64" si="3">MAX(IF(Pvap25&gt;100000,(100000/_Sol25)/(8.314*298),(Pvap25/_Sol25)/(8.314*298)),1E-20)</f>
        <v>1.1551672360215958E-3</v>
      </c>
      <c r="L46" s="245">
        <f t="shared" si="3"/>
        <v>1.1551672360215958E-3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40.508548484289875</v>
      </c>
      <c r="J47" s="245">
        <f>10.47*Kow^0.52</f>
        <v>40.508548484289875</v>
      </c>
      <c r="K47" s="245">
        <f t="shared" si="3"/>
        <v>1.1551672360215958E-3</v>
      </c>
      <c r="L47" s="245">
        <f t="shared" si="3"/>
        <v>1.1551672360215958E-3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40.899735783284882</v>
      </c>
      <c r="J48" s="245">
        <f>7.94*Kow^0.63</f>
        <v>40.899735783284882</v>
      </c>
      <c r="K48" s="245">
        <f t="shared" si="3"/>
        <v>1.1551672360215958E-3</v>
      </c>
      <c r="L48" s="245">
        <f t="shared" si="3"/>
        <v>1.1551672360215958E-3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41.783528434015679</v>
      </c>
      <c r="J49" s="245">
        <f>12.3*Kow^0.47</f>
        <v>41.783528434015679</v>
      </c>
      <c r="K49" s="245">
        <f t="shared" si="3"/>
        <v>1.1551672360215958E-3</v>
      </c>
      <c r="L49" s="245">
        <f t="shared" si="3"/>
        <v>1.1551672360215958E-3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10.734630069226792</v>
      </c>
      <c r="J50" s="245">
        <f>3.16*Kow^0.47</f>
        <v>10.734630069226792</v>
      </c>
      <c r="K50" s="245">
        <f t="shared" si="3"/>
        <v>1.1551672360215958E-3</v>
      </c>
      <c r="L50" s="245">
        <f t="shared" si="3"/>
        <v>1.1551672360215958E-3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37.317746504635814</v>
      </c>
      <c r="J51" s="245">
        <f>13.18*Kow^0.4</f>
        <v>37.317746504635814</v>
      </c>
      <c r="K51" s="245">
        <f t="shared" si="3"/>
        <v>1.1551672360215958E-3</v>
      </c>
      <c r="L51" s="245">
        <f t="shared" si="3"/>
        <v>1.1551672360215958E-3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8.717402177241409</v>
      </c>
      <c r="J52" s="245">
        <f>3.16*Kow^0.39</f>
        <v>8.717402177241409</v>
      </c>
      <c r="K52" s="245">
        <f t="shared" si="3"/>
        <v>1.1551672360215958E-3</v>
      </c>
      <c r="L52" s="245">
        <f t="shared" si="3"/>
        <v>1.1551672360215958E-3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41.959640309308227</v>
      </c>
      <c r="J53" s="245">
        <f>17.78*Kow^0.33</f>
        <v>41.959640309308227</v>
      </c>
      <c r="K53" s="245">
        <f t="shared" si="3"/>
        <v>1.1551672360215958E-3</v>
      </c>
      <c r="L53" s="245">
        <f t="shared" si="3"/>
        <v>1.1551672360215958E-3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35.533113055549485</v>
      </c>
      <c r="J54" s="245">
        <f>7.08*Kow^0.62</f>
        <v>35.533113055549485</v>
      </c>
      <c r="K54" s="245">
        <f t="shared" si="3"/>
        <v>1.1551672360215958E-3</v>
      </c>
      <c r="L54" s="245">
        <f t="shared" si="3"/>
        <v>1.1551672360215958E-3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36.139245924356274</v>
      </c>
      <c r="J55" s="245">
        <f>13.8*Kow^0.37</f>
        <v>36.139245924356274</v>
      </c>
      <c r="K55" s="245">
        <f t="shared" si="3"/>
        <v>1.1551672360215958E-3</v>
      </c>
      <c r="L55" s="245">
        <f t="shared" si="3"/>
        <v>1.1551672360215958E-3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223.57277432512004</v>
      </c>
      <c r="J56" s="245">
        <f>83.18*Kow^0.38</f>
        <v>223.57277432512004</v>
      </c>
      <c r="K56" s="245">
        <f t="shared" si="3"/>
        <v>1.1551672360215958E-3</v>
      </c>
      <c r="L56" s="245">
        <f t="shared" si="3"/>
        <v>1.1551672360215958E-3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40.15067555724054</v>
      </c>
      <c r="J57" s="245">
        <f>11.22*Kow^0.49</f>
        <v>40.15067555724054</v>
      </c>
      <c r="K57" s="245">
        <f t="shared" si="3"/>
        <v>1.1551672360215958E-3</v>
      </c>
      <c r="L57" s="245">
        <f t="shared" si="3"/>
        <v>1.1551672360215958E-3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26.322573865057187</v>
      </c>
      <c r="J58" s="245">
        <f>3.55*Kow^0.77</f>
        <v>26.322573865057187</v>
      </c>
      <c r="K58" s="245">
        <f t="shared" si="3"/>
        <v>1.1551672360215958E-3</v>
      </c>
      <c r="L58" s="245">
        <f t="shared" si="3"/>
        <v>1.1551672360215958E-3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9.9574076242331859</v>
      </c>
      <c r="J59" s="245">
        <f>2.09*Kow^0.6</f>
        <v>9.9574076242331859</v>
      </c>
      <c r="K59" s="245">
        <f t="shared" si="3"/>
        <v>1.1551672360215958E-3</v>
      </c>
      <c r="L59" s="245">
        <f t="shared" si="3"/>
        <v>1.1551672360215958E-3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52.966889266434926</v>
      </c>
      <c r="J60" s="245">
        <f>12.02*Kow^0.57</f>
        <v>52.966889266434926</v>
      </c>
      <c r="K60" s="245">
        <f t="shared" si="3"/>
        <v>1.1551672360215958E-3</v>
      </c>
      <c r="L60" s="245">
        <f t="shared" si="3"/>
        <v>1.1551672360215958E-3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40.15067555724054</v>
      </c>
      <c r="J61" s="245">
        <f>11.22*Kow^0.49</f>
        <v>40.15067555724054</v>
      </c>
      <c r="K61" s="245">
        <f t="shared" si="3"/>
        <v>1.1551672360215958E-3</v>
      </c>
      <c r="L61" s="245">
        <f t="shared" si="3"/>
        <v>1.1551672360215958E-3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52.925890507271617</v>
      </c>
      <c r="J62" s="245">
        <f>14.79*Kow^0.49</f>
        <v>52.925890507271617</v>
      </c>
      <c r="K62" s="245">
        <f t="shared" si="3"/>
        <v>1.1551672360215958E-3</v>
      </c>
      <c r="L62" s="245">
        <f t="shared" si="3"/>
        <v>1.1551672360215958E-3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69.017919812475697</v>
      </c>
      <c r="J63" s="245">
        <f>31.62*Kow^0.3</f>
        <v>69.017919812475697</v>
      </c>
      <c r="K63" s="245">
        <f t="shared" si="3"/>
        <v>1.1551672360215958E-3</v>
      </c>
      <c r="L63" s="245">
        <f t="shared" si="3"/>
        <v>1.1551672360215958E-3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87.30379518326852</v>
      </c>
      <c r="J64" s="247">
        <f>25.7*Kow^0.47</f>
        <v>87.30379518326852</v>
      </c>
      <c r="K64" s="247">
        <f t="shared" si="3"/>
        <v>1.1551672360215958E-3</v>
      </c>
      <c r="L64" s="247">
        <f t="shared" si="3"/>
        <v>1.1551672360215958E-3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1.4904750000000001E-7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1.4904750000000001E-7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5.3483578746909358E-7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5.3483578746909358E-7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>
        <f>5.94*10^-8</f>
        <v>5.9400000000000003E-8</v>
      </c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5.9426198607677063E-8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6.5846009179950364E-9</v>
      </c>
      <c r="L74" s="346">
        <f t="shared" si="4"/>
        <v>5.9400000000000003E-8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>
        <f>2.67*10^-7</f>
        <v>2.67E-7</v>
      </c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2.6741789373454679E-7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6.5846009179950349E-8</v>
      </c>
      <c r="L75" s="346">
        <f t="shared" si="4"/>
        <v>2.67E-7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2.5667631523202679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2.5667631523202679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2.5667631523202679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9.8099225222807957E-6</v>
      </c>
      <c r="L155" s="346">
        <f t="shared" ref="L155:L160" si="17">IF(ISBLANK(I155), IF(ISNUMBER(J155)=FALSE, K155, J155), I155)</f>
        <v>9.8099225222807957E-6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1.0178907934921709E-9</v>
      </c>
      <c r="L156" s="346">
        <f t="shared" si="17"/>
        <v>1.0178907934921709E-9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1-Chloro-2-nitro-propane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1-Chloro-2-nitro-propane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1-Chloro-2-nitro-propane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1-Chloro-2-nitro-propane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1.0912074188455198E-2</v>
      </c>
      <c r="AY8" s="75"/>
      <c r="AZ8" s="295">
        <f>output!AF12</f>
        <v>2.98079159205463E-5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6.8678803145635861E-2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0.76651647255089339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81369.942445207911</v>
      </c>
      <c r="D11" s="117">
        <f>C11/$C$51</f>
        <v>5.3618806778758001E-2</v>
      </c>
      <c r="E11" s="517">
        <f>M.aC*Molweight</f>
        <v>228632.17901866318</v>
      </c>
      <c r="F11" s="117">
        <f>E11/$E$51</f>
        <v>0.12470782350734991</v>
      </c>
      <c r="G11" s="517">
        <f>M.aM*Molweight</f>
        <v>120094.27591387833</v>
      </c>
      <c r="H11" s="117">
        <f>G11/$G$51</f>
        <v>0.10781005483824696</v>
      </c>
      <c r="I11" s="517">
        <f>M.aA*Molweight</f>
        <v>13946.537537582846</v>
      </c>
      <c r="J11" s="117">
        <f>I11/$I$51</f>
        <v>1.2826688969468444E-2</v>
      </c>
      <c r="K11" s="517">
        <f>M.aT*Molweight</f>
        <v>36320.152121778461</v>
      </c>
      <c r="L11" s="118">
        <f>K11/$K$51</f>
        <v>0.24944392446067346</v>
      </c>
      <c r="M11" s="320">
        <f>C.aR*(Molweight*1000)</f>
        <v>3.5444501653181125E-7</v>
      </c>
      <c r="N11" s="320">
        <f>C.aC*(Molweight*1000)</f>
        <v>3.1757777409961204E-8</v>
      </c>
      <c r="O11" s="320">
        <f>C.aM*(Molweight*1000)</f>
        <v>1.5481816302636925E-9</v>
      </c>
      <c r="P11" s="320">
        <f>C.aA*(Molweight*1000)</f>
        <v>3.28153824413714E-10</v>
      </c>
      <c r="Q11" s="321">
        <f>C.aT*(Molweight*1000)</f>
        <v>2.8486393821002713E-10</v>
      </c>
      <c r="R11" s="119" t="s">
        <v>1493</v>
      </c>
      <c r="S11" s="323">
        <f>F.aR</f>
        <v>6.798234759769803E-6</v>
      </c>
      <c r="T11" s="323">
        <f>F.aC</f>
        <v>6.0911231985696105E-7</v>
      </c>
      <c r="U11" s="323">
        <f>F.aM</f>
        <v>2.9694033439319384E-8</v>
      </c>
      <c r="V11" s="323">
        <f>F.aA</f>
        <v>5.8081208166924686E-9</v>
      </c>
      <c r="W11" s="324">
        <f>F.aT</f>
        <v>5.7128939381487242E-9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5.3618806778758001E-2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81369.937576213299</v>
      </c>
      <c r="D12" s="122">
        <f>C12/$C$51</f>
        <v>5.3618803570329027E-2</v>
      </c>
      <c r="E12" s="318">
        <f>FRgas.aC*E11</f>
        <v>228632.16533782709</v>
      </c>
      <c r="F12" s="122">
        <f>E12/$E$51</f>
        <v>0.12470781604511383</v>
      </c>
      <c r="G12" s="318">
        <f>FRgas.aM*G11</f>
        <v>120094.26872770659</v>
      </c>
      <c r="H12" s="122">
        <f>G12/$G$51</f>
        <v>0.10781004838713541</v>
      </c>
      <c r="I12" s="318">
        <f>FRgas.aA*I11</f>
        <v>13946.535353933485</v>
      </c>
      <c r="J12" s="122">
        <f>I12/$I$51</f>
        <v>1.2826686961156984E-2</v>
      </c>
      <c r="K12" s="318">
        <f>FRgas.aT*K11</f>
        <v>36320.150576820371</v>
      </c>
      <c r="L12" s="123">
        <f>K12/$K$51</f>
        <v>0.24944391385002382</v>
      </c>
      <c r="M12" s="320">
        <f>FRgas.aR*M11</f>
        <v>3.5444499532261749E-7</v>
      </c>
      <c r="N12" s="320">
        <f>FRgas.aC*N11</f>
        <v>3.1757775509647128E-8</v>
      </c>
      <c r="O12" s="320">
        <f>FRgas.aM*O11</f>
        <v>1.5481815376239809E-9</v>
      </c>
      <c r="P12" s="320">
        <f>FRgas.aA*P11</f>
        <v>3.2815377303372904E-10</v>
      </c>
      <c r="Q12" s="320">
        <f>FRgas.aT*Q11</f>
        <v>2.8486392609270879E-10</v>
      </c>
      <c r="R12" s="120" t="s">
        <v>1493</v>
      </c>
      <c r="S12" s="325">
        <f>S11*FRgas.aR</f>
        <v>6.798234352978703E-6</v>
      </c>
      <c r="T12" s="325">
        <f>T11*FRgas.aC</f>
        <v>6.0911228340904788E-7</v>
      </c>
      <c r="U12" s="325">
        <f>U11*FRgas.aM</f>
        <v>2.9694031662495114E-8</v>
      </c>
      <c r="V12" s="325">
        <f>V11*FRgas.aA</f>
        <v>5.8081199072983427E-9</v>
      </c>
      <c r="W12" s="326">
        <f>W11*FRgas.aT</f>
        <v>5.7128936951381314E-9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6.8678803145635861E-2</v>
      </c>
      <c r="AE12" s="325">
        <f>k.aR.aC*M.aR*Molweight</f>
        <v>0.76651647255089339</v>
      </c>
      <c r="AF12" s="325">
        <f>kesc.aR*M.aR*Molweight</f>
        <v>2.98079159205463E-5</v>
      </c>
      <c r="AG12" s="326">
        <f>KDEG.aR*M.aR*Molweight</f>
        <v>1.0912074188455198E-2</v>
      </c>
      <c r="AH12" s="325">
        <f>SUM(AH13:AH15)</f>
        <v>8.8532479965038862E-3</v>
      </c>
      <c r="AI12" s="325">
        <f>SUM(AI13:AI15)</f>
        <v>0.29316721246716188</v>
      </c>
      <c r="AJ12" s="325">
        <f>SUM(AJ18:AJ20)</f>
        <v>3.7593330596821452E-3</v>
      </c>
      <c r="AK12" s="325">
        <f>SUM(AK18:AK20)</f>
        <v>0.11112700026101152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304</v>
      </c>
      <c r="BO12" s="409" t="str">
        <f>ChemName</f>
        <v>1-Chloro-2-nitro-propane</v>
      </c>
      <c r="BP12" s="541" t="str">
        <f>substances!D6</f>
        <v>Neutral</v>
      </c>
      <c r="BQ12" s="542" t="str">
        <f>substances!E6</f>
        <v/>
      </c>
      <c r="BR12" s="425">
        <f>engine!D45</f>
        <v>658652.60195246805</v>
      </c>
      <c r="BS12" s="425"/>
      <c r="BT12" s="425">
        <f>engine!F45</f>
        <v>3863748.7376900753</v>
      </c>
      <c r="BU12" s="425">
        <f>engine!G45</f>
        <v>163976.97618538109</v>
      </c>
      <c r="BV12" s="425">
        <f>engine!H45</f>
        <v>39234.565655852653</v>
      </c>
      <c r="BW12" s="425">
        <f>engine!I45</f>
        <v>504.78303454843456</v>
      </c>
      <c r="BX12" s="425">
        <f>engine!J45</f>
        <v>12846.78388714519</v>
      </c>
      <c r="BY12" s="425">
        <f>engine!K45</f>
        <v>7199760.7063483912</v>
      </c>
      <c r="BZ12" s="425">
        <f>engine!L45</f>
        <v>4758.0681063500697</v>
      </c>
      <c r="CA12" s="425">
        <f>engine!M45</f>
        <v>1850673.2962494995</v>
      </c>
      <c r="CB12" s="425">
        <f>engine!N45</f>
        <v>35438.780519111271</v>
      </c>
      <c r="CC12" s="425">
        <f>engine!O45</f>
        <v>103650.28151887961</v>
      </c>
      <c r="CD12" s="425">
        <f>engine!P45</f>
        <v>12751521.662766732</v>
      </c>
      <c r="CE12" s="425">
        <f>engine!Q45</f>
        <v>1052.5202469380388</v>
      </c>
      <c r="CF12" s="425">
        <f>engine!R45</f>
        <v>1962.6998709759534</v>
      </c>
      <c r="CG12" s="425">
        <f>engine!S45</f>
        <v>17572.49418040389</v>
      </c>
      <c r="CH12" s="425">
        <f>engine!T45</f>
        <v>71693.669023312192</v>
      </c>
      <c r="CI12" s="425">
        <f>engine!U45</f>
        <v>6508.3311779273645</v>
      </c>
      <c r="CJ12" s="425">
        <f>engine!V45</f>
        <v>972108.43381802109</v>
      </c>
      <c r="CK12" s="425">
        <f>engine!W45</f>
        <v>3787591.9438373246</v>
      </c>
      <c r="CL12" s="611"/>
      <c r="CM12" s="425">
        <f>engine!Y45</f>
        <v>43.321104055826744</v>
      </c>
      <c r="CN12" s="425">
        <f>engine!Z45</f>
        <v>35306.69525671257</v>
      </c>
      <c r="CO12" s="425">
        <f>engine!AA45</f>
        <v>112890.86561099923</v>
      </c>
      <c r="CP12" s="425">
        <f>engine!AB45</f>
        <v>1541741.9792608023</v>
      </c>
      <c r="CQ12" s="425"/>
      <c r="CR12" s="425">
        <f>engine!AD45</f>
        <v>74.749034450532363</v>
      </c>
      <c r="CS12" s="425">
        <f>engine!AE45</f>
        <v>14822.441480085636</v>
      </c>
      <c r="CT12" s="425">
        <f>engine!AF45</f>
        <v>293995.07950282062</v>
      </c>
      <c r="CU12" s="425">
        <f>engine!AG45</f>
        <v>614323.58447574312</v>
      </c>
      <c r="CV12" s="425"/>
      <c r="CW12" s="425">
        <f>engine!AI45</f>
        <v>2.6403771757248071</v>
      </c>
      <c r="CX12" s="425">
        <f>engine!AJ45</f>
        <v>2872.7277205076421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4.8689946059488811E-3</v>
      </c>
      <c r="D13" s="122">
        <f>C13/$C$51</f>
        <v>3.208428974359722E-9</v>
      </c>
      <c r="E13" s="318">
        <f>(1-FRgas.aC)*E11</f>
        <v>1.3680836104041878E-2</v>
      </c>
      <c r="F13" s="122">
        <f>E13/$E$51</f>
        <v>7.4622360755113379E-9</v>
      </c>
      <c r="G13" s="318">
        <f>(1-FRgas.aM)*G11</f>
        <v>7.1861717491536331E-3</v>
      </c>
      <c r="H13" s="122">
        <f>G13/$G$51</f>
        <v>6.4511115493039384E-9</v>
      </c>
      <c r="I13" s="318">
        <f>(1-FRgas.aA)*I11</f>
        <v>2.1836493608585429E-3</v>
      </c>
      <c r="J13" s="122">
        <f>I13/$I$51</f>
        <v>2.0083114604347516E-9</v>
      </c>
      <c r="K13" s="318">
        <f>(1-FRgas.aT)*K11</f>
        <v>1.544958090415357E-3</v>
      </c>
      <c r="L13" s="123">
        <f>K13/$K$51</f>
        <v>1.0610649644536897E-8</v>
      </c>
      <c r="M13" s="320">
        <f>(1-FRgas.aR)*M11</f>
        <v>2.1209193735892671E-14</v>
      </c>
      <c r="N13" s="320">
        <f>(1-FRgas.aC)*N11</f>
        <v>1.9003140749441786E-15</v>
      </c>
      <c r="O13" s="320">
        <f>(1-FRgas.aM)*O11</f>
        <v>9.263971167066988E-17</v>
      </c>
      <c r="P13" s="320">
        <f>(1-FRgas.aA)*P11</f>
        <v>5.137998496137748E-17</v>
      </c>
      <c r="Q13" s="320">
        <f>(1-FRgas.aT)*Q11</f>
        <v>1.2117318356198877E-17</v>
      </c>
      <c r="R13" s="120" t="s">
        <v>1493</v>
      </c>
      <c r="S13" s="325">
        <f>S11*(1-FRgas.aR)</f>
        <v>4.0679109976736545E-13</v>
      </c>
      <c r="T13" s="325">
        <f>T11*(1-FRgas.aC)</f>
        <v>3.6447913205759116E-14</v>
      </c>
      <c r="U13" s="325">
        <f>U11*(1-FRgas.aM)</f>
        <v>1.776824270734463E-15</v>
      </c>
      <c r="V13" s="325">
        <f>V11*(1-FRgas.aA)</f>
        <v>9.0939412560157588E-16</v>
      </c>
      <c r="W13" s="326">
        <f>W11*(1-FRgas.aT)</f>
        <v>2.4301059312291052E-16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1.0084207704824382E-4</v>
      </c>
      <c r="AF13" s="330"/>
      <c r="AG13" s="326">
        <f>KDEG.w0R*M.w0R*Molweight</f>
        <v>9.1370786881846654E-3</v>
      </c>
      <c r="AH13" s="325">
        <f>k.aR.w0R*M.aR*Molweight</f>
        <v>6.4387206938975358E-4</v>
      </c>
      <c r="AI13" s="325">
        <f>k.w0R.aR*M.w0R*Molweight</f>
        <v>7.6335478035224338E-4</v>
      </c>
      <c r="AJ13" s="325"/>
      <c r="AK13" s="325"/>
      <c r="AL13" s="631">
        <f>SUM(AL18:AL20)*AREAFRAC.w0R/(AREAFRAC.w0R+AREAFRAC.w1R)</f>
        <v>9.3574034761953976E-3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1.0084207704824382E-4</v>
      </c>
      <c r="AE14" s="325">
        <f>(WATERflow.w1R.w0R+WATERflow.w1R.w2R)*C.w1R*Molweight</f>
        <v>3.4675099972806385E-2</v>
      </c>
      <c r="AF14" s="330"/>
      <c r="AG14" s="326">
        <f>KDEG.w1R*M.w1R*Molweight</f>
        <v>0.1036789800038328</v>
      </c>
      <c r="AH14" s="325">
        <f>k.aR.w1R*M.aR*Molweight</f>
        <v>7.0825927632872888E-3</v>
      </c>
      <c r="AI14" s="325">
        <f>k.w1R.aR*M.w1R*Molweight</f>
        <v>0.28872774953156116</v>
      </c>
      <c r="AJ14" s="325"/>
      <c r="AK14" s="325"/>
      <c r="AL14" s="631">
        <f>SUM(AL18:AL20)*AREAFRAC.w1R/(AREAFRAC.w0R+AREAFRAC.w1R)</f>
        <v>0.10293143823814939</v>
      </c>
      <c r="AM14" s="325">
        <f>k.w1R.sd1R*M.w1R*Molweight</f>
        <v>4.452779316159396E-3</v>
      </c>
      <c r="AN14" s="326">
        <f>k.sd1R.w1R*M.sd1R*Molweight</f>
        <v>4.3218159082290411E-3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42065.552140124571</v>
      </c>
      <c r="D15" s="122">
        <f>C15/$C$51</f>
        <v>2.771913859668635E-2</v>
      </c>
      <c r="E15" s="318">
        <f>M.w0C*Molweight</f>
        <v>4378.1069453310065</v>
      </c>
      <c r="F15" s="122">
        <f>E15/$E$51</f>
        <v>2.3880461209708956E-3</v>
      </c>
      <c r="G15" s="318"/>
      <c r="H15" s="122"/>
      <c r="I15" s="318"/>
      <c r="J15" s="122"/>
      <c r="K15" s="318"/>
      <c r="L15" s="123"/>
      <c r="M15" s="320">
        <f>C.w0R*Molweight</f>
        <v>7.3615176340070119E-7</v>
      </c>
      <c r="N15" s="320">
        <f>C.w0C*Molweight</f>
        <v>5.0238759614107441E-9</v>
      </c>
      <c r="O15" s="320"/>
      <c r="P15" s="320"/>
      <c r="Q15" s="320"/>
      <c r="R15" s="120" t="s">
        <v>1489</v>
      </c>
      <c r="S15" s="325">
        <f>F.w0R</f>
        <v>8.1581595377136068E-6</v>
      </c>
      <c r="T15" s="325">
        <f>F.w0C</f>
        <v>5.5675451216115548E-8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3.4701250692569158E-2</v>
      </c>
      <c r="AE15" s="325">
        <f>k.w2R.w2C*M.w2R*Molweight</f>
        <v>2.7750121955094822E-2</v>
      </c>
      <c r="AF15" s="330"/>
      <c r="AG15" s="326">
        <f>KDEG.w2R*M.w2R*Molweight</f>
        <v>4.4001675689098983E-3</v>
      </c>
      <c r="AH15" s="325">
        <f>k.aR.w2R*M.aR*Molweight</f>
        <v>1.1267831638268437E-3</v>
      </c>
      <c r="AI15" s="325">
        <f>k.w2R.aR*M.w2R*Molweight</f>
        <v>3.6761081552484885E-3</v>
      </c>
      <c r="AJ15" s="325"/>
      <c r="AK15" s="325"/>
      <c r="AL15" s="631"/>
      <c r="AM15" s="325">
        <f>k.w2R.sd2R*M.w2R*Molweight</f>
        <v>5.6085500680282569E-5</v>
      </c>
      <c r="AN15" s="326">
        <f>k.sd2R.w2R*M.sd2R*Molweight</f>
        <v>5.4449323537474196E-5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42065.484938782247</v>
      </c>
      <c r="D16" s="122">
        <f>C16/$C$51</f>
        <v>2.7719094314293112E-2</v>
      </c>
      <c r="E16" s="318">
        <f>FRw.w0C*E15</f>
        <v>4378.0999511362652</v>
      </c>
      <c r="F16" s="122">
        <f>E16/$E$51</f>
        <v>2.3880423059750924E-3</v>
      </c>
      <c r="G16" s="318"/>
      <c r="H16" s="122"/>
      <c r="I16" s="318"/>
      <c r="J16" s="122"/>
      <c r="K16" s="318"/>
      <c r="L16" s="123"/>
      <c r="M16" s="320">
        <f>M15*FRw.w0R</f>
        <v>7.3615058736986027E-7</v>
      </c>
      <c r="N16" s="320">
        <f>N15*FRw.w0C</f>
        <v>5.0238679355750878E-9</v>
      </c>
      <c r="O16" s="320"/>
      <c r="P16" s="320"/>
      <c r="Q16" s="320"/>
      <c r="R16" s="120" t="s">
        <v>1489</v>
      </c>
      <c r="S16" s="325">
        <f>S15*FRw.w0R</f>
        <v>8.1581465047390252E-6</v>
      </c>
      <c r="T16" s="325">
        <f>T15*FRw.w0C</f>
        <v>5.5675362272434413E-8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1.4033960660831028E-5</v>
      </c>
      <c r="AG16" s="326">
        <f>KDEG.sd1R*M.sd1R*Molweight</f>
        <v>1.1692944726952437E-4</v>
      </c>
      <c r="AH16" s="325"/>
      <c r="AI16" s="325"/>
      <c r="AJ16" s="325"/>
      <c r="AK16" s="325"/>
      <c r="AL16" s="631"/>
      <c r="AM16" s="325">
        <f>k.w1R.sd1R*M.w1R*Molweight</f>
        <v>4.452779316159396E-3</v>
      </c>
      <c r="AN16" s="326">
        <f>k.sd1R.w1R*M.sd1R*Molweight</f>
        <v>4.3218159082290411E-3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6.7201342324520352E-2</v>
      </c>
      <c r="D17" s="122">
        <f>C17/$C$51</f>
        <v>4.4282393241189199E-8</v>
      </c>
      <c r="E17" s="318">
        <f>(1-FRw.w0C)*E15</f>
        <v>6.9941947412574205E-3</v>
      </c>
      <c r="F17" s="122">
        <f>E17/$E$51</f>
        <v>3.8149958029204861E-9</v>
      </c>
      <c r="G17" s="318"/>
      <c r="H17" s="122"/>
      <c r="I17" s="318"/>
      <c r="J17" s="122"/>
      <c r="K17" s="318"/>
      <c r="L17" s="123"/>
      <c r="M17" s="320">
        <f>M16*Kp.susp1R</f>
        <v>7.6319797268253503E-7</v>
      </c>
      <c r="N17" s="320">
        <f>N16*Kp.susp1C</f>
        <v>5.2084531198360631E-9</v>
      </c>
      <c r="O17" s="320"/>
      <c r="P17" s="320"/>
      <c r="Q17" s="320"/>
      <c r="R17" s="120" t="s">
        <v>1494</v>
      </c>
      <c r="S17" s="325">
        <f>S15*(1-FRw.w0R)</f>
        <v>1.3032974582282978E-11</v>
      </c>
      <c r="T17" s="325">
        <f>T15*(1-FRw.w0C)</f>
        <v>8.8943681133273112E-14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1.3178936039954676E-7</v>
      </c>
      <c r="AG17" s="326">
        <f>KDEG.sd2R*M.sd2R*Molweight</f>
        <v>1.5043877824088265E-6</v>
      </c>
      <c r="AH17" s="325"/>
      <c r="AI17" s="325"/>
      <c r="AJ17" s="325"/>
      <c r="AK17" s="325"/>
      <c r="AL17" s="631"/>
      <c r="AM17" s="325">
        <f>k.w2R.sd2R*M.w2R*Molweight</f>
        <v>5.6085500680282569E-5</v>
      </c>
      <c r="AN17" s="326">
        <f>k.sd2R.w2R*M.sd2R*Molweight</f>
        <v>5.4449323537474196E-5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2.950610849858346E-6</v>
      </c>
      <c r="AG18" s="326">
        <f>KDEG.s1R*M.s1R*Molweight</f>
        <v>1.7209738936607813E-4</v>
      </c>
      <c r="AH18" s="325"/>
      <c r="AI18" s="325"/>
      <c r="AJ18" s="325">
        <f>k.aR.s1R*M.aR*Molweight</f>
        <v>1.0464122949630714E-3</v>
      </c>
      <c r="AK18" s="325">
        <f>k.s1R.aR*M.s1R*Molweight</f>
        <v>4.3341644600333208E-4</v>
      </c>
      <c r="AL18" s="631">
        <f>(k.s1R.w1R+k.s1R.w0R)*M.s1R*Molweight</f>
        <v>4.3794784874380283E-4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477327.51905423193</v>
      </c>
      <c r="D19" s="122">
        <f>C19/$C$51</f>
        <v>0.31453545677000871</v>
      </c>
      <c r="E19" s="318">
        <f>M.w1C*Molweight</f>
        <v>12804.955778842388</v>
      </c>
      <c r="F19" s="122">
        <f>E19/$E$51</f>
        <v>6.9844856141485839E-3</v>
      </c>
      <c r="G19" s="318"/>
      <c r="H19" s="122"/>
      <c r="I19" s="318"/>
      <c r="J19" s="122"/>
      <c r="K19" s="318"/>
      <c r="L19" s="123"/>
      <c r="M19" s="320">
        <f>C.w1R*Molweight</f>
        <v>2.5312981186281079E-5</v>
      </c>
      <c r="N19" s="320">
        <f>C.w1C*Molweight</f>
        <v>4.4526307919494174E-8</v>
      </c>
      <c r="O19" s="320"/>
      <c r="P19" s="320"/>
      <c r="Q19" s="320"/>
      <c r="R19" s="120" t="s">
        <v>1489</v>
      </c>
      <c r="S19" s="325">
        <f>F.w1R</f>
        <v>2.8052277962203052E-4</v>
      </c>
      <c r="T19" s="325">
        <f>F.w1C</f>
        <v>4.9344814709744697E-7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7.5248654444670952E-4</v>
      </c>
      <c r="AG19" s="326">
        <f>KDEG.s2R*M.s2R*Molweight</f>
        <v>9.6449043784636479E-2</v>
      </c>
      <c r="AH19" s="325"/>
      <c r="AI19" s="325"/>
      <c r="AJ19" s="325">
        <f>k.aR.s2R*M.aR*Molweight</f>
        <v>2.3253606554734917E-3</v>
      </c>
      <c r="AK19" s="325">
        <f>k.s2R.aR*M.s2R*Molweight</f>
        <v>0.11053305920537732</v>
      </c>
      <c r="AL19" s="631">
        <f>(k.s2R.w1R+k.s2R.w0R)*M.s2R*Molweight</f>
        <v>0.11168869095865883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477319.58108878112</v>
      </c>
      <c r="D20" s="122">
        <f>C20/$C$51</f>
        <v>0.31453022603955799</v>
      </c>
      <c r="E20" s="318">
        <f>FRw.w1C*E19</f>
        <v>12804.742832191474</v>
      </c>
      <c r="F20" s="122">
        <f>E20/$E$51</f>
        <v>6.9843694620239241E-3</v>
      </c>
      <c r="G20" s="318"/>
      <c r="H20" s="122"/>
      <c r="I20" s="318"/>
      <c r="J20" s="122"/>
      <c r="K20" s="318"/>
      <c r="L20" s="123"/>
      <c r="M20" s="320">
        <f>M19*FRw.w1R</f>
        <v>2.5312560230936807E-5</v>
      </c>
      <c r="N20" s="320">
        <f>N19*FRw.w1C</f>
        <v>4.4525567446171748E-8</v>
      </c>
      <c r="O20" s="320"/>
      <c r="P20" s="320"/>
      <c r="Q20" s="320"/>
      <c r="R20" s="120" t="s">
        <v>1489</v>
      </c>
      <c r="S20" s="325">
        <f>S19*FRw.w1R</f>
        <v>2.8051811452302843E-4</v>
      </c>
      <c r="T20" s="325">
        <f>T19*FRw.w1C</f>
        <v>4.9343994104565428E-7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1.0928188332808689E-6</v>
      </c>
      <c r="AG20" s="326">
        <f>KDEG.s3R*M.s3R*Molweight</f>
        <v>6.3739773839288188E-5</v>
      </c>
      <c r="AH20" s="325"/>
      <c r="AI20" s="325"/>
      <c r="AJ20" s="325">
        <f>k.aR.s3R*M.aR*Molweight</f>
        <v>3.8756010924558199E-4</v>
      </c>
      <c r="AK20" s="325">
        <f>k.s3R.aR*M.s3R*Molweight</f>
        <v>1.6052460963086372E-4</v>
      </c>
      <c r="AL20" s="631">
        <f>(k.s3R.w1R+k.s3R.w0R)*M.s3R*Molweight</f>
        <v>1.6220290694214919E-4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4.3341644600333208E-4</v>
      </c>
      <c r="BE20" s="2"/>
      <c r="BF20" s="296">
        <f>IF(output!AK20&lt;0,"",output!AK20)</f>
        <v>1.6052460963086372E-4</v>
      </c>
      <c r="BG20" s="75"/>
      <c r="BH20" s="296">
        <f>IF(output!AK19&lt;0,"",output!AK19)</f>
        <v>0.11053305920537732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7.9379654508343922</v>
      </c>
      <c r="D21" s="122">
        <f>C21/$C$51</f>
        <v>5.2307304507601018E-6</v>
      </c>
      <c r="E21" s="318">
        <f>(1-FRw.w1C)*E19</f>
        <v>0.21294665091447318</v>
      </c>
      <c r="F21" s="122">
        <f>E21/$E$51</f>
        <v>1.1615212466026317E-7</v>
      </c>
      <c r="G21" s="318"/>
      <c r="H21" s="122"/>
      <c r="I21" s="318"/>
      <c r="J21" s="122"/>
      <c r="K21" s="318"/>
      <c r="L21" s="123"/>
      <c r="M21" s="320">
        <f>M20*Kp.susp1R</f>
        <v>2.6242585393672234E-5</v>
      </c>
      <c r="N21" s="320">
        <f>N20*Kp.susp1C</f>
        <v>4.6161510145456755E-8</v>
      </c>
      <c r="O21" s="320"/>
      <c r="P21" s="320"/>
      <c r="Q21" s="320"/>
      <c r="R21" s="120" t="s">
        <v>1494</v>
      </c>
      <c r="S21" s="325">
        <f>S19*(1-FRw.w1R)</f>
        <v>4.6650990020935942E-9</v>
      </c>
      <c r="T21" s="325">
        <f>T19*(1-FRw.w1C)</f>
        <v>8.2060517926953025E-12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3.6761081552484885E-3</v>
      </c>
      <c r="AV21" s="75"/>
      <c r="AW21" s="75"/>
      <c r="AX21" s="288">
        <f>IF(output!AI14&lt;0,"",output!AI14)</f>
        <v>0.28872774953156116</v>
      </c>
      <c r="AY21" s="75"/>
      <c r="AZ21" s="75"/>
      <c r="BA21" s="296">
        <f>IF(output!AI13&lt;0,"",output!AI13)</f>
        <v>7.6335478035224338E-4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0.7819175095933244</v>
      </c>
      <c r="AE22" s="325">
        <f>(k.aC.aM+k.aC.aR)*M.aC*Molweight</f>
        <v>0.38459955605676793</v>
      </c>
      <c r="AF22" s="325">
        <f>kesc.aC*M.aC*Molweight</f>
        <v>8.3753884593302399E-5</v>
      </c>
      <c r="AG22" s="326">
        <f>KDEG.aC*M.aC*Molweight</f>
        <v>3.0660600515967935E-2</v>
      </c>
      <c r="AH22" s="325">
        <f>SUM(AH23:AH25)</f>
        <v>0.38546289941750173</v>
      </c>
      <c r="AI22" s="325">
        <f>SUM(AI23:AI25)</f>
        <v>2.2118422432441005E-2</v>
      </c>
      <c r="AJ22" s="325">
        <f>SUM(AJ28:AJ30)</f>
        <v>5.1422098241698105E-3</v>
      </c>
      <c r="AK22" s="325">
        <f>SUM(AK28:AK30)</f>
        <v>1.9130876732352934E-3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1.0464122949630714E-3</v>
      </c>
      <c r="BE22" s="2"/>
      <c r="BF22" s="296">
        <f>IF(output!AJ20&lt;0,"",output!AJ20)</f>
        <v>3.8756010924558199E-4</v>
      </c>
      <c r="BG22" s="75"/>
      <c r="BH22" s="296">
        <f>IF(output!AJ19&lt;0,"",output!AJ19)</f>
        <v>2.3253606554734917E-3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4847.0382411240371</v>
      </c>
      <c r="D23" s="122">
        <f>C23/$C$51</f>
        <v>3.1939608053070034E-3</v>
      </c>
      <c r="E23" s="318">
        <f>M.sd1C*Molweight</f>
        <v>130.02835130672531</v>
      </c>
      <c r="F23" s="122">
        <f>E23/$E$51</f>
        <v>7.0924192540662085E-5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1.9772424095056341E-5</v>
      </c>
      <c r="N23" s="320">
        <f>C.sd1C*(Molweight*1000)/(FRACw.sdC*1000+FRACs.sdC*RHOsolid)</f>
        <v>3.4780298578519572E-8</v>
      </c>
      <c r="O23" s="320"/>
      <c r="P23" s="320"/>
      <c r="Q23" s="320"/>
      <c r="R23" s="120" t="s">
        <v>1495</v>
      </c>
      <c r="S23" s="325">
        <f>F.sd1R</f>
        <v>2.689404429931231E-4</v>
      </c>
      <c r="T23" s="325">
        <f>F.sd1C</f>
        <v>4.7307446280594711E-7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1.0495461855245565E-5</v>
      </c>
      <c r="AF23" s="330"/>
      <c r="AG23" s="326">
        <f>KDEG.w0C*M.w0C*Molweight</f>
        <v>9.5097070238191216E-4</v>
      </c>
      <c r="AH23" s="325">
        <f>k.aC.w0C*M.aC*Molweight</f>
        <v>8.7982399283888289E-4</v>
      </c>
      <c r="AI23" s="325">
        <f>k.w0C.aC*M.w0C*Molweight</f>
        <v>7.944859143840742E-5</v>
      </c>
      <c r="AJ23" s="325"/>
      <c r="AK23" s="325"/>
      <c r="AL23" s="631">
        <f>SUM(AL28:AL30)*AREAFRAC.w0C/(AREAFRAC.w1C+AREAFRAC.w0C)</f>
        <v>1.61090762836682E-4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1.1267831638268437E-3</v>
      </c>
      <c r="AV23" s="75"/>
      <c r="AW23" s="75"/>
      <c r="AX23" s="288">
        <f>IF(output!AH14&lt;0,"",output!AH14)</f>
        <v>7.0825927632872888E-3</v>
      </c>
      <c r="AY23" s="291">
        <f>output!AL14</f>
        <v>0.10293143823814939</v>
      </c>
      <c r="AZ23" s="87"/>
      <c r="BA23" s="296">
        <f>IF(output!AH13&lt;0,"",output!AH13)</f>
        <v>6.4387206938975358E-4</v>
      </c>
      <c r="BB23" s="291">
        <f>output!AL13</f>
        <v>9.3574034761953976E-3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3877.6305928992297</v>
      </c>
      <c r="D24" s="122">
        <f>C24/$C$51</f>
        <v>2.5551686442456026E-3</v>
      </c>
      <c r="E24" s="318">
        <f>E23*FRACw.sdC</f>
        <v>104.02268104538025</v>
      </c>
      <c r="F24" s="122">
        <f>E24/$E$51</f>
        <v>5.6739354032529672E-5</v>
      </c>
      <c r="G24" s="318"/>
      <c r="H24" s="122"/>
      <c r="I24" s="318"/>
      <c r="J24" s="122"/>
      <c r="K24" s="318"/>
      <c r="L24" s="123"/>
      <c r="M24" s="320">
        <f>M25/Kp.sd1R</f>
        <v>2.4267848703365656E-5</v>
      </c>
      <c r="N24" s="320">
        <f>N25/Kp.sd1C</f>
        <v>4.2687887924295089E-8</v>
      </c>
      <c r="O24" s="320"/>
      <c r="P24" s="320"/>
      <c r="Q24" s="320"/>
      <c r="R24" s="120" t="s">
        <v>1489</v>
      </c>
      <c r="S24" s="325">
        <f>S23*FRACw.sdR</f>
        <v>2.1515235439449848E-4</v>
      </c>
      <c r="T24" s="325">
        <f>T23*FRACw.sdC</f>
        <v>3.7845957024475773E-7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1.0495461855245565E-5</v>
      </c>
      <c r="AE24" s="325">
        <f>(k.w1C.w0C+k.w1C.w1R+k.w1C.w2C)*M.w1C*Molweight</f>
        <v>9.3020641813923541E-4</v>
      </c>
      <c r="AF24" s="330"/>
      <c r="AG24" s="326">
        <f>KDEG.w1C*M.w1C*Molweight</f>
        <v>2.7813287546778263E-3</v>
      </c>
      <c r="AH24" s="325">
        <f>k.aC.w1C*M.aC*Molweight</f>
        <v>9.6780639212277093E-3</v>
      </c>
      <c r="AI24" s="325">
        <f>k.w1C.aC*M.w1C*Molweight</f>
        <v>7.7455120798435835E-3</v>
      </c>
      <c r="AJ24" s="518"/>
      <c r="AK24" s="518"/>
      <c r="AL24" s="631">
        <f>SUM(AL28:AL30)*AREAFRAC.w1C/(AREAFRAC.w1C+AREAFRAC.w0C)</f>
        <v>1.7719983912035018E-3</v>
      </c>
      <c r="AM24" s="325">
        <f>k.w1C.sd1C*M.w1C*Molweight</f>
        <v>1.1945182282668059E-4</v>
      </c>
      <c r="AN24" s="326">
        <f>k.sd1C.w1C*M.sd1C*Molweight</f>
        <v>1.1594130120086862E-4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1.0084207704824382E-4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969.40764822480719</v>
      </c>
      <c r="D25" s="122">
        <f>C25/$C$51</f>
        <v>6.3879216106140055E-4</v>
      </c>
      <c r="E25" s="318">
        <f>E23*FRACs.sdC</f>
        <v>26.005670261345056</v>
      </c>
      <c r="F25" s="122">
        <f>E25/$E$51</f>
        <v>1.4184838508132415E-5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1.2579744721761431E-5</v>
      </c>
      <c r="N25" s="320">
        <f>C.sd1C*FRACs.sdC/(FRACw.sdC/(Kp.sd1C*RHOsolid/1000)+FRACs.sdC)*(Molweight*1000)/(FRACs.sdC*RHOsolid)</f>
        <v>2.2128155625278763E-8</v>
      </c>
      <c r="O25" s="320"/>
      <c r="P25" s="320"/>
      <c r="Q25" s="320"/>
      <c r="R25" s="120" t="s">
        <v>1494</v>
      </c>
      <c r="S25" s="325">
        <f>S23*(1-FRACw.sdR)</f>
        <v>5.3788088598624606E-5</v>
      </c>
      <c r="T25" s="325">
        <f>T23*(1-FRACw.sdC)</f>
        <v>9.4614892561189406E-8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3.1519842147861438E-2</v>
      </c>
      <c r="AE25" s="325">
        <f>(k.w2C.w2M+k.w2C.w2R)*M.w2C*Molweight</f>
        <v>4.9950258564692845E-2</v>
      </c>
      <c r="AF25" s="330"/>
      <c r="AG25" s="326">
        <f>KDEG.w2C*M.w2C*Molweight</f>
        <v>0.34217506249978302</v>
      </c>
      <c r="AH25" s="325">
        <f>k.aC.w2C*M.aC*Molweight</f>
        <v>0.37490501150343514</v>
      </c>
      <c r="AI25" s="325">
        <f>k.w2C.aC*M.w2C*Molweight</f>
        <v>1.4293461761159016E-2</v>
      </c>
      <c r="AJ25" s="325"/>
      <c r="AK25" s="325"/>
      <c r="AL25" s="631"/>
      <c r="AM25" s="325">
        <f>k.w2C.sd2C*M.w2C*Molweight</f>
        <v>2.180719188537826E-4</v>
      </c>
      <c r="AN25" s="326">
        <f>k.sd2C.w2C*M.sd2C*Molweight</f>
        <v>2.1200109319186654E-4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3.4675099972806385E-2</v>
      </c>
      <c r="AT25" s="75"/>
      <c r="AU25" s="75"/>
      <c r="AV25" s="87"/>
      <c r="AW25" s="75"/>
      <c r="AX25" s="289">
        <f>output!AD14</f>
        <v>1.0084207704824382E-4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3.7373117950079234E-7</v>
      </c>
      <c r="AG26" s="326">
        <f>KDEG.sd1C*M.sd1C*Molweight</f>
        <v>3.1367904463112012E-6</v>
      </c>
      <c r="AH26" s="325"/>
      <c r="AI26" s="325"/>
      <c r="AJ26" s="325"/>
      <c r="AK26" s="325"/>
      <c r="AL26" s="631"/>
      <c r="AM26" s="325">
        <f>k.w1C.sd1C*M.w1C*Molweight</f>
        <v>1.1945182282668059E-4</v>
      </c>
      <c r="AN26" s="326">
        <f>k.sd1C.w1C*M.sd1C*Molweight</f>
        <v>1.1594130120086862E-4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2.7750121955094822E-2</v>
      </c>
      <c r="AT26" s="75"/>
      <c r="AU26" s="285">
        <f>output!AD15</f>
        <v>3.4701250692569158E-2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20257.715637941983</v>
      </c>
      <c r="D27" s="122">
        <f>C27/$C$51</f>
        <v>1.3348842434062758E-2</v>
      </c>
      <c r="E27" s="318">
        <f>M.w2C*Molweight</f>
        <v>1575322.9862182022</v>
      </c>
      <c r="F27" s="122">
        <f>E27/$E$51</f>
        <v>0.85926268898628821</v>
      </c>
      <c r="G27" s="318">
        <f>M.w2M*Molweight</f>
        <v>467919.10874166311</v>
      </c>
      <c r="H27" s="122">
        <f>G27/$G$51</f>
        <v>0.42005652966739487</v>
      </c>
      <c r="I27" s="318">
        <f>M.w2A*Molweight</f>
        <v>190466.80411787954</v>
      </c>
      <c r="J27" s="122">
        <f>I27/$I$51</f>
        <v>0.17517311725904786</v>
      </c>
      <c r="K27" s="318">
        <f>M.w2T*Molweight</f>
        <v>75893.535626133307</v>
      </c>
      <c r="L27" s="123">
        <f>K27/$K$51</f>
        <v>0.52123078406455858</v>
      </c>
      <c r="M27" s="320">
        <f>C.w2R*Molweight</f>
        <v>2.0257715637941959E-6</v>
      </c>
      <c r="N27" s="320">
        <f>C.w2C*Molweight</f>
        <v>2.1211271933589371E-9</v>
      </c>
      <c r="O27" s="320">
        <f>C.w2M*Molweight</f>
        <v>1.2064251407330999E-10</v>
      </c>
      <c r="P27" s="320">
        <f>C.w2A*Molweight</f>
        <v>7.469286435995275E-11</v>
      </c>
      <c r="Q27" s="320">
        <f>C.w2T*Molweight</f>
        <v>8.5034773810793636E-12</v>
      </c>
      <c r="R27" s="120" t="s">
        <v>1489</v>
      </c>
      <c r="S27" s="325">
        <f>F.w2R</f>
        <v>2.2449946364389683E-5</v>
      </c>
      <c r="T27" s="325">
        <f>F.w2C</f>
        <v>2.3506693732914072E-8</v>
      </c>
      <c r="U27" s="325">
        <f>F.w2M</f>
        <v>1.3369809403080817E-9</v>
      </c>
      <c r="V27" s="325">
        <f>F.w2A</f>
        <v>2.012982029546995E-10</v>
      </c>
      <c r="W27" s="326">
        <f>F.w2T</f>
        <v>1.9699722594575591E-10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2.2145770708180403E-7</v>
      </c>
      <c r="AG27" s="326">
        <f>KDEG.sd2C*M.sd2C*Molweight</f>
        <v>5.8493679548342519E-6</v>
      </c>
      <c r="AH27" s="325"/>
      <c r="AI27" s="325"/>
      <c r="AJ27" s="325"/>
      <c r="AK27" s="325"/>
      <c r="AL27" s="631"/>
      <c r="AM27" s="325">
        <f>k.w2C.sd2C*M.w2C*Molweight</f>
        <v>2.180719188537826E-4</v>
      </c>
      <c r="AN27" s="326">
        <f>k.sd2C.w2C*M.sd2C*Molweight</f>
        <v>2.1200109319186654E-4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9.1370786881846654E-3</v>
      </c>
      <c r="BB27" s="264">
        <f>IF(ISERROR(output!D15),0,output!D15)</f>
        <v>2.771913859668635E-2</v>
      </c>
      <c r="BC27" s="86"/>
      <c r="BD27" s="295">
        <f>output!AG18</f>
        <v>1.7209738936607813E-4</v>
      </c>
      <c r="BE27" s="75"/>
      <c r="BF27" s="295">
        <f>output!AG19</f>
        <v>9.6449043784636479E-2</v>
      </c>
      <c r="BG27" s="75"/>
      <c r="BH27" s="256">
        <f>output!AG20</f>
        <v>6.3739773839288188E-5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20257.588767123962</v>
      </c>
      <c r="D28" s="122">
        <f>C28/$C$51</f>
        <v>1.3348758832407491E-2</v>
      </c>
      <c r="E28" s="318">
        <f>FRw.w2C*E27</f>
        <v>1575313.1202234633</v>
      </c>
      <c r="F28" s="122">
        <f>E28/$E$51</f>
        <v>0.85925730756213392</v>
      </c>
      <c r="G28" s="318">
        <f>FRw.w2M*G27</f>
        <v>467916.17823947052</v>
      </c>
      <c r="H28" s="122">
        <f>G28/$G$51</f>
        <v>0.42005389892084449</v>
      </c>
      <c r="I28" s="318">
        <f>FRw.w2A*I27</f>
        <v>190465.61125488966</v>
      </c>
      <c r="J28" s="122">
        <f>I28/$I$51</f>
        <v>0.17517202017796138</v>
      </c>
      <c r="K28" s="318">
        <f>FRw.w2T*K27</f>
        <v>75893.060317114287</v>
      </c>
      <c r="L28" s="123">
        <f>K28/$K$51</f>
        <v>0.52122751967990955</v>
      </c>
      <c r="M28" s="320">
        <f>M27*FRw.w2R</f>
        <v>2.0257588767123937E-6</v>
      </c>
      <c r="N28" s="320">
        <f>N27*FRw.w2C</f>
        <v>2.1211139090801489E-9</v>
      </c>
      <c r="O28" s="320">
        <f>O27*FRw.w2M</f>
        <v>1.2064175850862925E-10</v>
      </c>
      <c r="P28" s="320">
        <f>P27*FRw.w2A</f>
        <v>7.4692396570544948E-11</v>
      </c>
      <c r="Q28" s="320">
        <f>Q27*FRw.w2T</f>
        <v>8.5034241251668688E-12</v>
      </c>
      <c r="R28" s="120" t="s">
        <v>1489</v>
      </c>
      <c r="S28" s="325">
        <f>S27*FRw.w2R</f>
        <v>2.2449805763982871E-5</v>
      </c>
      <c r="T28" s="325">
        <f>T27*FRw.w2C</f>
        <v>2.3506546514268293E-8</v>
      </c>
      <c r="U28" s="325">
        <f>U27*FRw.w2M</f>
        <v>1.3369725670112793E-9</v>
      </c>
      <c r="V28" s="325">
        <f>V27*FRw.w2A</f>
        <v>2.012969422563991E-10</v>
      </c>
      <c r="W28" s="326">
        <f>W27*FRw.w2T</f>
        <v>1.9699599218378343E-10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4.0359978375330451E-6</v>
      </c>
      <c r="AG28" s="326">
        <f>KDEG.s1C*M.s1C*Molweight</f>
        <v>2.3540369322505534E-4</v>
      </c>
      <c r="AH28" s="325"/>
      <c r="AI28" s="325"/>
      <c r="AJ28" s="325">
        <f>k.aC.s1C*M.aC*Molweight</f>
        <v>1.4313367551812878E-3</v>
      </c>
      <c r="AK28" s="325">
        <f>k.s1C.aC*M.s1C*Molweight</f>
        <v>5.9284938876459625E-4</v>
      </c>
      <c r="AL28" s="631">
        <f>(k.s1C.w1C+k.s1C.w0C)*M.s1C*Molweight</f>
        <v>5.9904767535410338E-4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0.12687081802018652</v>
      </c>
      <c r="D29" s="122">
        <f>C29/$C$51</f>
        <v>8.3601655265616776E-8</v>
      </c>
      <c r="E29" s="318">
        <f>(1-FRw.w2C)*E27</f>
        <v>9.8659947389710076</v>
      </c>
      <c r="F29" s="122">
        <f>E29/$E$51</f>
        <v>5.3814241543470777E-6</v>
      </c>
      <c r="G29" s="318">
        <f>(1-FRw.w2M)*G27</f>
        <v>2.9305021925642172</v>
      </c>
      <c r="H29" s="122">
        <f>G29/$G$51</f>
        <v>2.6307465504060783E-6</v>
      </c>
      <c r="I29" s="318">
        <f>(1-FRw.w2A)*I27</f>
        <v>1.1928629898855141</v>
      </c>
      <c r="J29" s="122">
        <f>I29/$I$51</f>
        <v>1.0970810864861794E-6</v>
      </c>
      <c r="K29" s="318">
        <f>(1-FRw.w2T)*K27</f>
        <v>0.47530901901384848</v>
      </c>
      <c r="L29" s="123">
        <f>K29/$K$51</f>
        <v>3.2643846489639E-6</v>
      </c>
      <c r="M29" s="320">
        <f>M28*Kp.susp2R</f>
        <v>2.1001885950731053E-6</v>
      </c>
      <c r="N29" s="320">
        <f>N28*Kp.susp2C</f>
        <v>2.1990471284177028E-9</v>
      </c>
      <c r="O29" s="320">
        <f>O28*Kp.susp2M</f>
        <v>1.2507433546117893E-10</v>
      </c>
      <c r="P29" s="320">
        <f>P28*Kp.susp2A</f>
        <v>7.7436718268621125E-11</v>
      </c>
      <c r="Q29" s="320">
        <f>Q28*Kp.susp2T</f>
        <v>8.815853936045939E-12</v>
      </c>
      <c r="R29" s="120" t="s">
        <v>1494</v>
      </c>
      <c r="S29" s="325">
        <f>S27*(1-FRw.w2R)</f>
        <v>1.4060040681115957E-10</v>
      </c>
      <c r="T29" s="325">
        <f>T27*(1-FRw.w2C)</f>
        <v>1.4721864578151315E-13</v>
      </c>
      <c r="U29" s="325">
        <f>U27*(1-FRw.w2M)</f>
        <v>8.3732968023593437E-15</v>
      </c>
      <c r="V29" s="325">
        <f>V27*(1-FRw.w2A)</f>
        <v>1.2606983004057406E-15</v>
      </c>
      <c r="W29" s="326">
        <f>W27*(1-FRw.w2T)</f>
        <v>1.233761972481941E-15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7.4930992101569677E-6</v>
      </c>
      <c r="AG29" s="326">
        <f>KDEG.s2C*M.s2C*Molweight</f>
        <v>9.6041883956137029E-4</v>
      </c>
      <c r="AH29" s="325"/>
      <c r="AI29" s="325"/>
      <c r="AJ29" s="325">
        <f>k.aC.s2C*M.aC*Molweight</f>
        <v>3.1807483448473058E-3</v>
      </c>
      <c r="AK29" s="325">
        <f>k.s2C.aC*M.s2C*Molweight</f>
        <v>1.1006644367801061E-3</v>
      </c>
      <c r="AL29" s="631">
        <f>(k.s2C.w1C+k.s2C.w0C)*M.s2C*Molweight</f>
        <v>1.1121719692956718E-3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1.4948140139011274E-6</v>
      </c>
      <c r="AG30" s="326">
        <f>KDEG.s3C*M.s3C*Molweight</f>
        <v>8.7186553046316766E-5</v>
      </c>
      <c r="AH30" s="325"/>
      <c r="AI30" s="325"/>
      <c r="AJ30" s="325">
        <f>k.aC.s3C*M.aC*Molweight</f>
        <v>5.3012472414121757E-4</v>
      </c>
      <c r="AK30" s="325">
        <f>k.s3C.aC*M.s3C*Molweight</f>
        <v>2.1957384769059115E-4</v>
      </c>
      <c r="AL30" s="631">
        <f>(k.s3C.w1C+k.s3C.w0C)*M.s3C*Molweight</f>
        <v>2.218695093904086E-4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0.31453545677000871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521562.65980870335</v>
      </c>
      <c r="H31" s="122">
        <f>G31/$G$51</f>
        <v>0.46821298124051752</v>
      </c>
      <c r="I31" s="318">
        <f>M.w3A*Molweight</f>
        <v>881052.3889197777</v>
      </c>
      <c r="J31" s="122">
        <f>I31/$I$51</f>
        <v>0.81030757118227159</v>
      </c>
      <c r="K31" s="318">
        <f>M.w3T*Molweight</f>
        <v>33035.566116360846</v>
      </c>
      <c r="L31" s="123">
        <f>K31/$K$51</f>
        <v>0.22688564825431659</v>
      </c>
      <c r="M31" s="320"/>
      <c r="N31" s="320"/>
      <c r="O31" s="320">
        <f>C.w3M*Molweight</f>
        <v>4.4824436069229432E-12</v>
      </c>
      <c r="P31" s="320">
        <f>C.w3A*Molweight</f>
        <v>1.1517024691761799E-11</v>
      </c>
      <c r="Q31" s="320">
        <f>C.w3T*Molweight</f>
        <v>1.2338213302095557E-13</v>
      </c>
      <c r="R31" s="120" t="s">
        <v>1489</v>
      </c>
      <c r="S31" s="325"/>
      <c r="T31" s="325"/>
      <c r="U31" s="325">
        <f>F.w3M</f>
        <v>4.967520541573012E-11</v>
      </c>
      <c r="V31" s="325">
        <f>F.w3A</f>
        <v>3.1038525483025383E-11</v>
      </c>
      <c r="W31" s="326">
        <f>F.w3T</f>
        <v>2.8583527476042154E-12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0.1036789800038328</v>
      </c>
      <c r="AY31" s="75"/>
      <c r="AZ31" s="75"/>
      <c r="BA31" s="87"/>
      <c r="BB31" s="2"/>
      <c r="BC31" s="86"/>
      <c r="BD31" s="277">
        <f>IF(ISERROR(output!D39),0,output!D39)</f>
        <v>1.0458156863441788E-3</v>
      </c>
      <c r="BE31" s="75"/>
      <c r="BF31" s="277">
        <f>IF(ISERROR(output!D43),0,output!D43)</f>
        <v>0.58610954700949858</v>
      </c>
      <c r="BG31" s="75"/>
      <c r="BH31" s="273">
        <f>IF(ISERROR(output!D47),0,output!D47)</f>
        <v>3.8733914309043653E-4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521559.3933455699</v>
      </c>
      <c r="H32" s="122">
        <f>G32/$G$51</f>
        <v>0.46821004889784873</v>
      </c>
      <c r="I32" s="318">
        <f>FRw.w3A*I31</f>
        <v>881046.8710302338</v>
      </c>
      <c r="J32" s="122">
        <f>I32/$I$51</f>
        <v>0.81030249635615392</v>
      </c>
      <c r="K32" s="318">
        <f>FRw.w3T*K31</f>
        <v>33035.359219918428</v>
      </c>
      <c r="L32" s="123">
        <f>K32/$K$51</f>
        <v>0.22688422730595767</v>
      </c>
      <c r="M32" s="320"/>
      <c r="N32" s="320"/>
      <c r="O32" s="320">
        <f>O31*FRw.w3M</f>
        <v>4.4824155340988741E-12</v>
      </c>
      <c r="P32" s="320">
        <f>P31*FRw.w3A</f>
        <v>1.1516952562486716E-11</v>
      </c>
      <c r="Q32" s="320">
        <f>Q31*FRw.w3T</f>
        <v>1.2338136029848157E-13</v>
      </c>
      <c r="R32" s="120" t="s">
        <v>1489</v>
      </c>
      <c r="S32" s="325"/>
      <c r="T32" s="325"/>
      <c r="U32" s="325">
        <f>U31*FRw.w3M</f>
        <v>4.967489430790044E-11</v>
      </c>
      <c r="V32" s="325">
        <f>V31*FRw.w3A</f>
        <v>3.1038331093727567E-11</v>
      </c>
      <c r="W32" s="326">
        <f>W31*FRw.w3T</f>
        <v>2.8583348462002388E-12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0.34009455212207745</v>
      </c>
      <c r="AE32" s="325">
        <f>(k.aM.aA+k.aM.aC+k.aM.aT)*M.aM*Molweight</f>
        <v>0.13985828611079754</v>
      </c>
      <c r="AF32" s="325">
        <f>kesc.aM*M.aM*Molweight</f>
        <v>4.3993641526664193E-5</v>
      </c>
      <c r="AG32" s="326">
        <f>KDEG.aM*M.aM*Molweight</f>
        <v>1.610518096732691E-2</v>
      </c>
      <c r="AH32" s="325">
        <f>AH33</f>
        <v>0.19089359130733161</v>
      </c>
      <c r="AI32" s="325">
        <f>AI33</f>
        <v>8.4911906277334945E-3</v>
      </c>
      <c r="AJ32" s="325">
        <f>AJ36</f>
        <v>2.8758450625223655E-3</v>
      </c>
      <c r="AK32" s="325">
        <f>AK36</f>
        <v>1.1911543396942426E-3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4.3218159082290411E-3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3.2664631334235121</v>
      </c>
      <c r="H33" s="122">
        <f>G33/$G$51</f>
        <v>2.9323426688049571E-6</v>
      </c>
      <c r="I33" s="318">
        <f>(1-FRw.w3A)*I31</f>
        <v>5.5178895438502478</v>
      </c>
      <c r="J33" s="122">
        <f>I33/$I$51</f>
        <v>5.0748261176742135E-6</v>
      </c>
      <c r="K33" s="318">
        <f>(1-FRw.w3T)*K31</f>
        <v>0.20689644241488886</v>
      </c>
      <c r="L33" s="123">
        <f>K33/$K$51</f>
        <v>1.4209483589132753E-6</v>
      </c>
      <c r="M33" s="320"/>
      <c r="N33" s="320"/>
      <c r="O33" s="320">
        <f>O32*Kp.susp3M</f>
        <v>4.6471068651422303E-12</v>
      </c>
      <c r="P33" s="320">
        <f>P32*Kp.susp3A</f>
        <v>1.1940104372632413E-11</v>
      </c>
      <c r="Q33" s="320">
        <f>Q32*Kp.susp3T</f>
        <v>1.2791459473400382E-13</v>
      </c>
      <c r="R33" s="120" t="s">
        <v>1494</v>
      </c>
      <c r="S33" s="325"/>
      <c r="T33" s="325"/>
      <c r="U33" s="325">
        <f>U31*(1-FRw.w3M)</f>
        <v>3.1110782968097507E-16</v>
      </c>
      <c r="V33" s="325">
        <f>V31*(1-FRw.w3A)</f>
        <v>1.9438929781383248E-16</v>
      </c>
      <c r="W33" s="326">
        <f>W31*(1-FRw.w3T)</f>
        <v>1.7901403976644818E-17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5.5530544392461953E-2</v>
      </c>
      <c r="AE33" s="325">
        <f>(k.w2M.w2C+k.w2M.w2A+k.w2M.w2T+k.w2M.w3M)*M.w2M*Molweight</f>
        <v>0.13750009391027002</v>
      </c>
      <c r="AF33" s="330"/>
      <c r="AG33" s="326">
        <f>KDEG.w2M*M.w2M*Molweight</f>
        <v>0.1016364591129911</v>
      </c>
      <c r="AH33" s="325">
        <f>k.aM.w2M*M.aM*Molweight</f>
        <v>0.19089359130733161</v>
      </c>
      <c r="AI33" s="325">
        <f>k.w2M.aM*M.w2M*Molweight</f>
        <v>8.4911906277334945E-3</v>
      </c>
      <c r="AJ33" s="325"/>
      <c r="AK33" s="325"/>
      <c r="AL33" s="325">
        <f>AL36</f>
        <v>1.2036079512011133E-3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4.4001675689098983E-3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0.1182917567284104</v>
      </c>
      <c r="AE34" s="325">
        <f>(k.w3M.w2M+k.w3M.w3A+k.w3M.w3T)*M.w3M*Molweight</f>
        <v>5.0032814814084158E-3</v>
      </c>
      <c r="AF34" s="330"/>
      <c r="AG34" s="326">
        <f>KDEG.w3M*M.w3M*Molweight</f>
        <v>0.11328834612261307</v>
      </c>
      <c r="AH34" s="325"/>
      <c r="AI34" s="325"/>
      <c r="AJ34" s="325"/>
      <c r="AK34" s="325"/>
      <c r="AL34" s="325"/>
      <c r="AM34" s="325">
        <f>k.w3M.sdM*M.w3M*Molweight</f>
        <v>4.8133270032880471E-6</v>
      </c>
      <c r="AN34" s="326">
        <f>k.sdM.w3M*M.sdM*Molweight</f>
        <v>4.6842026143378056E-6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4.452779316159396E-3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62.360896088113613</v>
      </c>
      <c r="D35" s="122">
        <f>C35/$C$51</f>
        <v>4.1092776244131289E-5</v>
      </c>
      <c r="E35" s="318">
        <f>M.sd2C*Molweight</f>
        <v>242.47194206036932</v>
      </c>
      <c r="F35" s="122">
        <f>E35/$E$51</f>
        <v>1.3225674656007445E-4</v>
      </c>
      <c r="G35" s="318">
        <f>M.sdM*Molweight</f>
        <v>5.3518891950568364</v>
      </c>
      <c r="H35" s="122">
        <f>G35/$G$51</f>
        <v>4.8044543606813244E-6</v>
      </c>
      <c r="I35" s="318">
        <f>M.sdA*Molweight</f>
        <v>9.2344957160187686</v>
      </c>
      <c r="J35" s="122">
        <f>I35/$I$51</f>
        <v>8.4930043761808462E-6</v>
      </c>
      <c r="K35" s="318">
        <f>M.sdT*Molweight</f>
        <v>0.32619219628904272</v>
      </c>
      <c r="L35" s="123">
        <f>K35/$K$51</f>
        <v>2.240262135961586E-6</v>
      </c>
      <c r="M35" s="320">
        <f>C.sd2R*(Molweight*1000)/(FRACw.sdR*1000+FRACs.sdR*RHOsolid)</f>
        <v>1.5989973355926552E-6</v>
      </c>
      <c r="N35" s="320">
        <f>C.sd2C*(Molweight*1000)/(FRACw.sdC*1000+FRACs.sdC*RHOsolid)</f>
        <v>1.6742641624811734E-9</v>
      </c>
      <c r="O35" s="320">
        <f>C.sdM*(Molweight*1000)/(FRACw.sdM*1000+FRACs.sdM*RHOsolid)</f>
        <v>3.5381162972738184E-12</v>
      </c>
      <c r="P35" s="320">
        <f>C.sdA*(Molweight*1000)/(FRACw.sdA*1000+FRACs.sdA*RHOsolid)</f>
        <v>9.2855663308383796E-12</v>
      </c>
      <c r="Q35" s="320">
        <f>C.sdT*(Molweight*1000)/(FRACw.sdT*1000+FRACs.sdT*RHOsolid)</f>
        <v>9.371319292940967E-14</v>
      </c>
      <c r="R35" s="120" t="s">
        <v>1495</v>
      </c>
      <c r="S35" s="325">
        <f>F.sd2R</f>
        <v>2.1749232654110073E-5</v>
      </c>
      <c r="T35" s="325">
        <f>F.sd2C</f>
        <v>2.2772996542076949E-8</v>
      </c>
      <c r="U35" s="325">
        <f>F.sdM</f>
        <v>4.8124729662657866E-11</v>
      </c>
      <c r="V35" s="325">
        <f>F.sdA</f>
        <v>3.0714294344841898E-11</v>
      </c>
      <c r="W35" s="326">
        <f>F.sdT</f>
        <v>2.6646222289736069E-12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1.5969685817367617E-11</v>
      </c>
      <c r="AG35" s="326">
        <f>KDEG.sdM*M.sdM*Molweight</f>
        <v>1.2910841926442342E-7</v>
      </c>
      <c r="AH35" s="325"/>
      <c r="AI35" s="325"/>
      <c r="AJ35" s="325"/>
      <c r="AK35" s="325"/>
      <c r="AL35" s="325"/>
      <c r="AM35" s="325">
        <f>k.w3M.sdM*M.w3M*Molweight</f>
        <v>4.8133270032880471E-6</v>
      </c>
      <c r="AN35" s="326">
        <f>k.sdM.w3M*M.sdM*Molweight</f>
        <v>4.6842026143378056E-6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1.1692944726952437E-4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49.888716870490896</v>
      </c>
      <c r="D36" s="122">
        <f>C36/$C$51</f>
        <v>3.2874220995305034E-5</v>
      </c>
      <c r="E36" s="318">
        <f>E35*FRACw.sdC</f>
        <v>193.97755364829547</v>
      </c>
      <c r="F36" s="122">
        <f>E36/$E$51</f>
        <v>1.0580539724805957E-4</v>
      </c>
      <c r="G36" s="318">
        <f>G35*FRACw.sdM</f>
        <v>4.2815113560454696</v>
      </c>
      <c r="H36" s="122">
        <f>G36/$G$51</f>
        <v>3.8435634885450602E-6</v>
      </c>
      <c r="I36" s="318">
        <f>I35*FRACw.sdA</f>
        <v>7.3875965728150153</v>
      </c>
      <c r="J36" s="122">
        <f>I36/$I$51</f>
        <v>6.7944035009446765E-6</v>
      </c>
      <c r="K36" s="318">
        <f>K35*FRACw.sdT</f>
        <v>0.26095375703123419</v>
      </c>
      <c r="L36" s="123">
        <f>K36/$K$51</f>
        <v>1.7922097087692688E-6</v>
      </c>
      <c r="M36" s="320">
        <f>M37/Kp.sd2R</f>
        <v>1.9625426417466687E-6</v>
      </c>
      <c r="N36" s="320">
        <f>N37/Kp.sd2C</f>
        <v>2.0549220059830276E-9</v>
      </c>
      <c r="O36" s="320">
        <f>O37/Kp.sdM</f>
        <v>4.3425363822042109E-12</v>
      </c>
      <c r="P36" s="320">
        <f>P37/Kp.sdA</f>
        <v>1.1396716849614483E-11</v>
      </c>
      <c r="Q36" s="320">
        <f>Q37/Kp.sdT</f>
        <v>1.1501966458876676E-13</v>
      </c>
      <c r="R36" s="120" t="s">
        <v>1489</v>
      </c>
      <c r="S36" s="325">
        <f>S35*FRACw.sdR</f>
        <v>1.7399386123288058E-5</v>
      </c>
      <c r="T36" s="325">
        <f>T35*FRACw.sdC</f>
        <v>1.8218397233661561E-8</v>
      </c>
      <c r="U36" s="325">
        <f>U35*FRACw.sdM</f>
        <v>3.8499783730126297E-11</v>
      </c>
      <c r="V36" s="325">
        <f>V35*FRACw.sdA</f>
        <v>2.457143547587352E-11</v>
      </c>
      <c r="W36" s="326">
        <f>W35*FRACw.sdT</f>
        <v>2.1316977831788855E-12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8.1091360306402989E-6</v>
      </c>
      <c r="AG36" s="326">
        <f>KDEG.sM*M.sM*Molweight</f>
        <v>4.7297363559637004E-4</v>
      </c>
      <c r="AH36" s="325"/>
      <c r="AI36" s="325"/>
      <c r="AJ36" s="325">
        <f>k.aM.sM*M.aM*Molweight</f>
        <v>2.8758450625223655E-3</v>
      </c>
      <c r="AK36" s="325">
        <f>k.sM.aM*M.sM*Molweight</f>
        <v>1.1911543396942426E-3</v>
      </c>
      <c r="AL36" s="325">
        <f>k.sM.w2M*M.sM*Molweight</f>
        <v>1.2036079512011133E-3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12.47217921762272</v>
      </c>
      <c r="D37" s="122">
        <f>C37/$C$51</f>
        <v>8.2185552488262551E-6</v>
      </c>
      <c r="E37" s="318">
        <f>E35*FRACs.sdC</f>
        <v>48.494388412073853</v>
      </c>
      <c r="F37" s="122">
        <f>E37/$E$51</f>
        <v>2.6451349312014885E-5</v>
      </c>
      <c r="G37" s="318">
        <f>G35*FRACs.sdM</f>
        <v>1.070377839011367</v>
      </c>
      <c r="H37" s="122">
        <f>G37/$G$51</f>
        <v>9.6089087213626464E-7</v>
      </c>
      <c r="I37" s="318">
        <f>I35*FRACs.sdA</f>
        <v>1.8468991432037534</v>
      </c>
      <c r="J37" s="122">
        <f>I37/$I$51</f>
        <v>1.6986008752361689E-6</v>
      </c>
      <c r="K37" s="318">
        <f>K35*FRACs.sdT</f>
        <v>6.5238439257808534E-2</v>
      </c>
      <c r="L37" s="123">
        <f>K37/$K$51</f>
        <v>4.4805242719231709E-7</v>
      </c>
      <c r="M37" s="320">
        <f>C.sd2R*FRACs.sdR/(FRACw.sdR/(Kp.sd2R*RHOsolid/1000)+FRACs.sdR)*(Molweight*1000)/(FRACs.sdR*RHOsolid)</f>
        <v>1.0173248457462333E-6</v>
      </c>
      <c r="N37" s="320">
        <f>C.sd2C*FRACs.sdC/(FRACw.sdC/(Kp.sd2C*RHOsolid/1000)+FRACs.sdC)*(Molweight*1000)/(FRACs.sdC*RHOsolid)</f>
        <v>1.0652116128782058E-9</v>
      </c>
      <c r="O37" s="320">
        <f>C.sdM*FRACs.sdM/(FRACw.sdM/(Kp.sdM*RHOsolid/1000)+FRACs.sdM)*(Molweight*1000)/(FRACs.sdM*RHOsolid)</f>
        <v>2.2510441613851896E-12</v>
      </c>
      <c r="P37" s="320">
        <f>C.sdA*FRACs.sdA/(FRACw.sdA/(Kp.sdA*RHOsolid/1000)+FRACs.sdA)*(Molweight*1000)/(FRACs.sdA*RHOsolid)</f>
        <v>5.9077255007966147E-12</v>
      </c>
      <c r="Q37" s="320">
        <f>C.sdT*FRACs.sdT/(FRACw.sdT/(Kp.sdT*RHOsolid/1000)+FRACs.sdT)*(Molweight*1000)/(FRACs.sdT*RHOsolid)</f>
        <v>5.9622838274438344E-14</v>
      </c>
      <c r="R37" s="120" t="s">
        <v>1494</v>
      </c>
      <c r="S37" s="325">
        <f>S35*(1-FRACw.sdR)</f>
        <v>4.3498465308220136E-6</v>
      </c>
      <c r="T37" s="325">
        <f>T35*(1-FRACw.sdC)</f>
        <v>4.5545993084153887E-9</v>
      </c>
      <c r="U37" s="325">
        <f>U35*(1-FRACw.sdM)</f>
        <v>9.6249459325315709E-12</v>
      </c>
      <c r="V37" s="325">
        <f>V35*(1-FRACw.sdA)</f>
        <v>6.1428588689683784E-12</v>
      </c>
      <c r="W37" s="326">
        <f>W35*(1-FRACw.sdT)</f>
        <v>5.3292444579472126E-13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1.3348842434062758E-2</v>
      </c>
      <c r="AW37" s="75"/>
      <c r="AX37" s="75"/>
      <c r="AY37" s="300">
        <f>IF(ISERROR(output!D23),0,output!D23)</f>
        <v>3.1939608053070034E-3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4.5554514844149331E-2</v>
      </c>
      <c r="AE38" s="325">
        <f>k.aA.aM*M.aA*Molweight</f>
        <v>9.6557716311830629E-3</v>
      </c>
      <c r="AF38" s="325">
        <f>kesc.aA*M.aA*Molweight</f>
        <v>5.1089776619043803E-6</v>
      </c>
      <c r="AG38" s="326">
        <f>KDEG.aA*M.aA*Molweight</f>
        <v>1.5640990993186867E-3</v>
      </c>
      <c r="AH38" s="325">
        <f>AH39</f>
        <v>3.5313386481677388E-2</v>
      </c>
      <c r="AI38" s="325">
        <f>AI39</f>
        <v>1.208804448942197E-3</v>
      </c>
      <c r="AJ38" s="325">
        <f>AJ42</f>
        <v>3.3395947967676699E-4</v>
      </c>
      <c r="AK38" s="325">
        <f>AK42</f>
        <v>1.0900637642627789E-4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1587.0916814179168</v>
      </c>
      <c r="D39" s="122">
        <f>C39/$C$51</f>
        <v>1.0458156863441788E-3</v>
      </c>
      <c r="E39" s="318">
        <f>M.s1C*Molweight</f>
        <v>2170.9059310470966</v>
      </c>
      <c r="F39" s="122">
        <f>E39/$E$51</f>
        <v>1.1841244520439133E-3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3.0255204808334554E-7</v>
      </c>
      <c r="N39" s="320">
        <f>C.s1C*(Molweight*1000)/(FRACw.s1C*1000+(1-FRACa.s1C-FRACw.s1C)*RHOsolid)</f>
        <v>2.713631464037857E-8</v>
      </c>
      <c r="O39" s="320"/>
      <c r="P39" s="320"/>
      <c r="Q39" s="320"/>
      <c r="R39" s="120" t="s">
        <v>1495</v>
      </c>
      <c r="S39" s="325">
        <f>F.s1R</f>
        <v>1.1151560384351909E-5</v>
      </c>
      <c r="T39" s="325">
        <f>F.s1C</f>
        <v>1.000198984730033E-6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2.6004152398092544E-2</v>
      </c>
      <c r="AE39" s="325">
        <f>(k.w2A.w2M+k.w2A.w3A)*M.w2A*Molweight</f>
        <v>5.1285327826947356E-2</v>
      </c>
      <c r="AF39" s="330"/>
      <c r="AG39" s="326">
        <f>KDEG.w2A*M.w2A*Molweight</f>
        <v>9.0039287463020909E-3</v>
      </c>
      <c r="AH39" s="325">
        <f>k.aA.w2A*M.aA*Molweight</f>
        <v>3.5313386481677388E-2</v>
      </c>
      <c r="AI39" s="325">
        <f>k.w2A.aA*M.w2A*Molweight</f>
        <v>1.208804448942197E-3</v>
      </c>
      <c r="AJ39" s="325"/>
      <c r="AK39" s="325"/>
      <c r="AL39" s="325">
        <f>AL42</f>
        <v>1.805221424217017E-4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621.00313929019444</v>
      </c>
      <c r="D40" s="122">
        <f>C40/$C$51</f>
        <v>4.0921065363939008E-4</v>
      </c>
      <c r="E40" s="318">
        <f>E39*FRw.s1C</f>
        <v>849.44015148483038</v>
      </c>
      <c r="F40" s="122">
        <f>E40/$E$51</f>
        <v>4.6332862218305502E-4</v>
      </c>
      <c r="G40" s="318"/>
      <c r="H40" s="122"/>
      <c r="I40" s="318"/>
      <c r="J40" s="122"/>
      <c r="K40" s="318"/>
      <c r="L40" s="123"/>
      <c r="M40" s="320">
        <f>M41/Kp.s1R</f>
        <v>1.0062613759464144E-6</v>
      </c>
      <c r="N40" s="320">
        <f>N41/Kp.s1C</f>
        <v>9.025298450671859E-8</v>
      </c>
      <c r="O40" s="320"/>
      <c r="P40" s="320"/>
      <c r="Q40" s="320"/>
      <c r="R40" s="120" t="s">
        <v>1489</v>
      </c>
      <c r="S40" s="325">
        <f>S39*FRACw.s1R</f>
        <v>2.2303120768703817E-6</v>
      </c>
      <c r="T40" s="325">
        <f>T39*FRACw.s1C</f>
        <v>2.0003979694600661E-7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5.1285327826947356E-2</v>
      </c>
      <c r="AE40" s="325">
        <f>(k.w3A.w2A+k.w3A.w3M)*M.w3A*Molweight</f>
        <v>9.6353289908603125E-3</v>
      </c>
      <c r="AF40" s="330"/>
      <c r="AG40" s="326">
        <f>KDEG.w3A*M.w3A*Molweight</f>
        <v>4.1649950332989467E-2</v>
      </c>
      <c r="AH40" s="325"/>
      <c r="AI40" s="325"/>
      <c r="AJ40" s="325"/>
      <c r="AK40" s="325"/>
      <c r="AL40" s="325"/>
      <c r="AM40" s="325">
        <f>k.w3A.sdA*M.w3A*Molweight</f>
        <v>8.1309372424291845E-6</v>
      </c>
      <c r="AN40" s="326">
        <f>k.sdA.w3A*M.sdA*Molweight</f>
        <v>8.0824341448616638E-6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5.4449323537474196E-5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965.72972650019005</v>
      </c>
      <c r="D41" s="122">
        <f>C41/$C$51</f>
        <v>6.363685907801209E-4</v>
      </c>
      <c r="E41" s="318">
        <f>E39*FRs.s1C</f>
        <v>1320.9749730240667</v>
      </c>
      <c r="F41" s="122">
        <f>E41/$E$51</f>
        <v>7.205281185727765E-4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2.0864661532225097E-7</v>
      </c>
      <c r="N41" s="320">
        <f>C.s1C*FRs.s1C*(Molweight*1000)/(FRACs.s1C*RHOsolid)</f>
        <v>1.8713805568008984E-8</v>
      </c>
      <c r="O41" s="320"/>
      <c r="P41" s="320"/>
      <c r="Q41" s="320"/>
      <c r="R41" s="120" t="s">
        <v>1494</v>
      </c>
      <c r="S41" s="325">
        <f>S39*(1-FRACw.s1R)</f>
        <v>8.9212483074815266E-6</v>
      </c>
      <c r="T41" s="325">
        <f>T39*(1-FRACw.s1C)</f>
        <v>8.0015918778402646E-7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1.9521595881994483E-11</v>
      </c>
      <c r="AG41" s="326">
        <f>KDEG.sdA*M.sdA*Molweight</f>
        <v>4.8483575971639838E-8</v>
      </c>
      <c r="AH41" s="325"/>
      <c r="AI41" s="325"/>
      <c r="AJ41" s="325"/>
      <c r="AK41" s="325"/>
      <c r="AL41" s="325"/>
      <c r="AM41" s="325">
        <f>k.w3A.sdA*M.w3A*Molweight</f>
        <v>8.1309372424291845E-6</v>
      </c>
      <c r="AN41" s="326">
        <f>k.sdA.w3A*M.sdA*Molweight</f>
        <v>8.0824341448616638E-6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1.2160503240696815E-6</v>
      </c>
      <c r="AG42" s="326">
        <f>KDEG.sA*M.sA*Molweight</f>
        <v>4.3214910504717767E-5</v>
      </c>
      <c r="AH42" s="325"/>
      <c r="AI42" s="325"/>
      <c r="AJ42" s="325">
        <f>k.aA.sA*M.aA*Molweight</f>
        <v>3.3395947967676699E-4</v>
      </c>
      <c r="AK42" s="325">
        <f>k.sA.aA*M.sA*Molweight</f>
        <v>1.0900637642627789E-4</v>
      </c>
      <c r="AL42" s="325">
        <f>k.sA.w2A*M.sA*Molweight</f>
        <v>1.805221424217017E-4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5.6085500680282569E-5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889458.43766228028</v>
      </c>
      <c r="D43" s="122">
        <f>C43/$C$51</f>
        <v>0.58610954700949858</v>
      </c>
      <c r="E43" s="318">
        <f>M.s2C*Molweight</f>
        <v>8857.0358711399895</v>
      </c>
      <c r="F43" s="122">
        <f>E43/$E$51</f>
        <v>4.8310857682296307E-3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1.9075514637517839E-5</v>
      </c>
      <c r="N43" s="320">
        <f>C.s2C*(Molweight*1000)/(FRACw.s2C*1000+(1-FRACa.s2C-FRACw.s2C)*RHOsolid)</f>
        <v>1.2455202334469789E-8</v>
      </c>
      <c r="O43" s="320"/>
      <c r="P43" s="320"/>
      <c r="Q43" s="320"/>
      <c r="R43" s="120" t="s">
        <v>1495</v>
      </c>
      <c r="S43" s="325">
        <f>F.s2R</f>
        <v>7.0309143398781203E-4</v>
      </c>
      <c r="T43" s="325">
        <f>F.s2C</f>
        <v>4.5907784069568945E-7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4.1092776244131289E-5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348030.60750904406</v>
      </c>
      <c r="D44" s="122">
        <f>C44/$C$51</f>
        <v>0.22933512469530071</v>
      </c>
      <c r="E44" s="318">
        <f>E43*FRw.s2C</f>
        <v>3465.6139561325426</v>
      </c>
      <c r="F44" s="122">
        <f>E44/$E$51</f>
        <v>1.8903252177407026E-3</v>
      </c>
      <c r="G44" s="318"/>
      <c r="H44" s="122"/>
      <c r="I44" s="318"/>
      <c r="J44" s="122"/>
      <c r="K44" s="318"/>
      <c r="L44" s="123"/>
      <c r="M44" s="320">
        <f>M45/Kp.s2R</f>
        <v>6.3443476015561246E-5</v>
      </c>
      <c r="N44" s="320">
        <f>N45/Kp.s2C</f>
        <v>4.1424902320680967E-8</v>
      </c>
      <c r="O44" s="320"/>
      <c r="P44" s="320"/>
      <c r="Q44" s="320"/>
      <c r="R44" s="120" t="s">
        <v>1489</v>
      </c>
      <c r="S44" s="325">
        <f>S43*FRACw.s2R</f>
        <v>1.4061828679756241E-4</v>
      </c>
      <c r="T44" s="325">
        <f>T43*FRACw.s2C</f>
        <v>9.1815568139137895E-8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7.8902734224217244E-2</v>
      </c>
      <c r="AE44" s="325">
        <f>k.aT.aM*M.aT*Molweight</f>
        <v>1.4518027579762283E-2</v>
      </c>
      <c r="AF44" s="325">
        <f>kesc.aT*M.aT*Molweight</f>
        <v>1.3305011754142915E-5</v>
      </c>
      <c r="AG44" s="326">
        <f>KDEG.aT*M.aT*Molweight</f>
        <v>5.4134276430986344E-3</v>
      </c>
      <c r="AH44" s="325">
        <f>AH45</f>
        <v>6.0743498213094139E-2</v>
      </c>
      <c r="AI44" s="325">
        <f>AI45</f>
        <v>2.0633311016768773E-3</v>
      </c>
      <c r="AJ44" s="325">
        <f>AJ48</f>
        <v>5.1594655546922258E-4</v>
      </c>
      <c r="AK44" s="325">
        <f>AK48</f>
        <v>2.3813967728430614E-4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1.5043877824088265E-6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541226.73806056741</v>
      </c>
      <c r="D45" s="122">
        <f>C45/$C$51</f>
        <v>0.35664191247410787</v>
      </c>
      <c r="E45" s="318">
        <f>E43*FRs.s2C</f>
        <v>5389.4194831874147</v>
      </c>
      <c r="F45" s="122">
        <f>E45/$E$51</f>
        <v>2.9396683205365659E-3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1.3154898768200536E-5</v>
      </c>
      <c r="N45" s="320">
        <f>C.s2C*FRs.s2C*(Molweight*1000)/(FRACs.s2C*RHOsolid)</f>
        <v>8.5893842950454364E-9</v>
      </c>
      <c r="O45" s="320"/>
      <c r="P45" s="320"/>
      <c r="Q45" s="320"/>
      <c r="R45" s="120" t="s">
        <v>1494</v>
      </c>
      <c r="S45" s="325">
        <f>S43*(1-FRACw.s2R)</f>
        <v>5.6247314719024965E-4</v>
      </c>
      <c r="T45" s="325">
        <f>T43*(1-FRACw.s2C)</f>
        <v>3.6726227255655158E-7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2.5023828317116275E-4</v>
      </c>
      <c r="AE45" s="325">
        <f>(k.w2T.w2M+k.w2T.w3T)*M.w2T*Molweight</f>
        <v>1.8521905088510111E-2</v>
      </c>
      <c r="AF45" s="330"/>
      <c r="AG45" s="326">
        <f>KDEG.w2T*M.w2T*Molweight</f>
        <v>4.0590324678143247E-2</v>
      </c>
      <c r="AH45" s="325">
        <f>k.aT.w2T*M.aT*Molweight</f>
        <v>6.0743498213094139E-2</v>
      </c>
      <c r="AI45" s="325">
        <f>k.w2T.aT*M.w2T*Molweight</f>
        <v>2.0633311016768773E-3</v>
      </c>
      <c r="AJ45" s="325"/>
      <c r="AK45" s="325"/>
      <c r="AL45" s="325">
        <f>AL48</f>
        <v>1.8182437206491818E-4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1.7918750022386645E-2</v>
      </c>
      <c r="AE46" s="325">
        <f>(k.w3T.w2T+k.w3T.w3M)*M.w3T*Molweight</f>
        <v>2.5023828317116275E-4</v>
      </c>
      <c r="AF46" s="330"/>
      <c r="AG46" s="326">
        <f>KDEG.w3T*M.w3T*Molweight</f>
        <v>1.7668492362709457E-2</v>
      </c>
      <c r="AH46" s="325"/>
      <c r="AI46" s="325"/>
      <c r="AJ46" s="325"/>
      <c r="AK46" s="325"/>
      <c r="AL46" s="325"/>
      <c r="AM46" s="325">
        <f>k.w3T.sdT*M.w3T*Molweight</f>
        <v>3.0487416893515485E-7</v>
      </c>
      <c r="AN46" s="326">
        <f>k.sdT.w3T*M.sdT*Molweight</f>
        <v>2.8549766290980629E-7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587.81173385848763</v>
      </c>
      <c r="D47" s="122">
        <f>C47/$C$51</f>
        <v>3.8733914309043653E-4</v>
      </c>
      <c r="E47" s="318">
        <f>M.s3C*Molweight</f>
        <v>804.03923372114673</v>
      </c>
      <c r="F47" s="122">
        <f>E47/$E$51</f>
        <v>4.3856461186811597E-4</v>
      </c>
      <c r="G47" s="318">
        <f>M.sM*Molweight</f>
        <v>4361.7891320142717</v>
      </c>
      <c r="H47" s="122">
        <f>G47/$G$51</f>
        <v>3.9156297994797752E-3</v>
      </c>
      <c r="I47" s="318">
        <f>M.sA*Molweight</f>
        <v>1831.1644204497795</v>
      </c>
      <c r="J47" s="122">
        <f>I47/$I$51</f>
        <v>1.6841295848357975E-3</v>
      </c>
      <c r="K47" s="318">
        <f>M.sT*Molweight</f>
        <v>354.89678259151412</v>
      </c>
      <c r="L47" s="123">
        <f>K47/$K$51</f>
        <v>2.4374029583155523E-3</v>
      </c>
      <c r="M47" s="320">
        <f>C.s3R*(Molweight*1000)/(FRACw.s3R*1000+(1-FRACa.s3R-FRACw.s3R)*RHOsolid)</f>
        <v>3.0255204808334554E-7</v>
      </c>
      <c r="N47" s="320">
        <f>C.s3C*(Molweight*1000)/(FRACw.s3C*1000+(1-FRACa.s3C-FRACw.s3C)*RHOsolid)</f>
        <v>2.713631464037857E-8</v>
      </c>
      <c r="O47" s="320">
        <f>C.sM*(Molweight*1000)/(FRACw.sM*1000+(1-FRACa.sM-FRACw.sM)*RHOsolid)</f>
        <v>1.3230472002357426E-9</v>
      </c>
      <c r="P47" s="320">
        <f>C.sA*(Molweight*1000)/(FRACw.sA*1000+(1-FRACa.sA-FRACw.sA)*RHOsolid)</f>
        <v>1.267241813460055E-9</v>
      </c>
      <c r="Q47" s="320">
        <f>C.sT*(Molweight*1000)/(FRACw.sT*1000+(1-FRACa.sT-FRACw.sT)*RHOsolid)</f>
        <v>1.0915702655640569E-10</v>
      </c>
      <c r="R47" s="120" t="s">
        <v>1495</v>
      </c>
      <c r="S47" s="325">
        <f>F.s3R</f>
        <v>1.1151560384351909E-5</v>
      </c>
      <c r="T47" s="325">
        <f>F.s3C</f>
        <v>1.000198984730033E-6</v>
      </c>
      <c r="U47" s="325">
        <f>F.sM</f>
        <v>4.8765297866079031E-8</v>
      </c>
      <c r="V47" s="325">
        <f>F.sA</f>
        <v>1.1360653181496324E-8</v>
      </c>
      <c r="W47" s="326">
        <f>F.sT</f>
        <v>8.4086804859684891E-9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6.8956577940352673E-13</v>
      </c>
      <c r="AG47" s="326">
        <f>KDEG.sdT*M.sdT*Molweight</f>
        <v>1.9375816459569139E-8</v>
      </c>
      <c r="AH47" s="325"/>
      <c r="AI47" s="325"/>
      <c r="AJ47" s="325"/>
      <c r="AK47" s="325"/>
      <c r="AL47" s="325"/>
      <c r="AM47" s="325">
        <f>k.w3T.sdT*M.w3T*Molweight</f>
        <v>3.0487416893515485E-7</v>
      </c>
      <c r="AN47" s="326">
        <f>k.sdT.w3T*M.sdT*Molweight</f>
        <v>2.8549766290980629E-7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1.3178936039954676E-7</v>
      </c>
      <c r="AW47" s="75"/>
      <c r="AX47" s="290">
        <f>output!AF16</f>
        <v>1.4033960660831028E-5</v>
      </c>
      <c r="AY47" s="75"/>
      <c r="AZ47" s="75"/>
      <c r="BA47" s="75"/>
      <c r="BB47" s="75"/>
      <c r="BC47" s="2"/>
      <c r="BD47" s="295">
        <f>output!AF18</f>
        <v>2.950610849858346E-6</v>
      </c>
      <c r="BE47" s="75"/>
      <c r="BF47" s="295">
        <f>output!AF20</f>
        <v>1.0928188332808689E-6</v>
      </c>
      <c r="BG47" s="75"/>
      <c r="BH47" s="299">
        <f>output!AF19</f>
        <v>7.5248654444670952E-4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230.001162700072</v>
      </c>
      <c r="D48" s="122">
        <f>C48/$C$51</f>
        <v>1.5155950134792225E-4</v>
      </c>
      <c r="E48" s="318">
        <f>E47*FRw.s3C</f>
        <v>314.6074635129001</v>
      </c>
      <c r="F48" s="122">
        <f>E48/$E$51</f>
        <v>1.7160319340113147E-4</v>
      </c>
      <c r="G48" s="318">
        <f>G47*FRw.sM</f>
        <v>1706.697083487175</v>
      </c>
      <c r="H48" s="122">
        <f>G48/$G$51</f>
        <v>1.5321221995207948E-3</v>
      </c>
      <c r="I48" s="318">
        <f>I47*FRw.sA</f>
        <v>716.62415011165513</v>
      </c>
      <c r="J48" s="122">
        <f>I48/$I$51</f>
        <v>6.5908223146581577E-4</v>
      </c>
      <c r="K48" s="318">
        <f>K47*FRw.sT</f>
        <v>138.83396920951202</v>
      </c>
      <c r="L48" s="123">
        <f>K48/$K$51</f>
        <v>9.5350069052456432E-4</v>
      </c>
      <c r="M48" s="320">
        <f>M49/Kp.s3R</f>
        <v>1.0062613759464144E-6</v>
      </c>
      <c r="N48" s="320">
        <f>N49/Kp.s3C</f>
        <v>9.025298450671859E-8</v>
      </c>
      <c r="O48" s="320">
        <f>O49/Kp.sM</f>
        <v>4.4003380726893011E-9</v>
      </c>
      <c r="P48" s="320">
        <f>P49/Kp.sA</f>
        <v>4.2154361771273833E-9</v>
      </c>
      <c r="Q48" s="320">
        <f>Q49/Kp.sT</f>
        <v>3.6296462538434506E-10</v>
      </c>
      <c r="R48" s="120" t="s">
        <v>1489</v>
      </c>
      <c r="S48" s="325">
        <f>S47*FRACw.s3R</f>
        <v>2.2303120768703817E-6</v>
      </c>
      <c r="T48" s="325">
        <f>T47*FRACw.s3C</f>
        <v>2.0003979694600661E-7</v>
      </c>
      <c r="U48" s="325">
        <f>U47*FRACw.sM</f>
        <v>9.7530595732158063E-9</v>
      </c>
      <c r="V48" s="325">
        <f>V47*FRACw.sA</f>
        <v>2.2721306362992651E-9</v>
      </c>
      <c r="W48" s="326">
        <f>W47*FRACw.sT</f>
        <v>1.681736097193698E-9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1.225065168064142E-6</v>
      </c>
      <c r="AG48" s="326">
        <f>KDEG.sT*M.sT*Molweight</f>
        <v>9.4757440951934283E-5</v>
      </c>
      <c r="AH48" s="325"/>
      <c r="AI48" s="325"/>
      <c r="AJ48" s="325">
        <f>k.aT.sT*M.aT*Molweight</f>
        <v>5.1594655546922258E-4</v>
      </c>
      <c r="AK48" s="325">
        <f>k.sT.aT*M.sT*Molweight</f>
        <v>2.3813967728430614E-4</v>
      </c>
      <c r="AL48" s="333">
        <f>k.sT.w2T*M.sT*Molweight</f>
        <v>1.8182437206491818E-4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357.67767648155183</v>
      </c>
      <c r="D49" s="122">
        <f>C49/$C$51</f>
        <v>2.35692070659304E-4</v>
      </c>
      <c r="E49" s="318">
        <f>E47*FRs.s3C</f>
        <v>489.24999000891347</v>
      </c>
      <c r="F49" s="122">
        <f>E49/$E$51</f>
        <v>2.6686226613806529E-4</v>
      </c>
      <c r="G49" s="318">
        <f>G47*FRs.sM</f>
        <v>2654.1059189147427</v>
      </c>
      <c r="H49" s="122">
        <f>G49/$G$51</f>
        <v>2.3826223397184197E-3</v>
      </c>
      <c r="I49" s="318">
        <f>I47*FRs.sA</f>
        <v>1114.4311529274867</v>
      </c>
      <c r="J49" s="122">
        <f>I49/$I$51</f>
        <v>1.024946997630528E-3</v>
      </c>
      <c r="K49" s="318">
        <f>K47*FRs.sT</f>
        <v>215.90243692952441</v>
      </c>
      <c r="L49" s="123">
        <f>K49/$K$51</f>
        <v>1.4828008150337697E-3</v>
      </c>
      <c r="M49" s="320">
        <f>C.s3R*FRs.s3R*(Molweight*1000)/(FRACs.s3R*RHOsolid)</f>
        <v>2.0864661532225097E-7</v>
      </c>
      <c r="N49" s="320">
        <f>C.s3C*FRs.s3C*(Molweight*1000)/(FRACs.s3C*RHOsolid)</f>
        <v>1.8713805568008984E-8</v>
      </c>
      <c r="O49" s="320">
        <f>C.sM*FRs.sM*(Molweight*1000)/(FRACs.sM*RHOsolid)</f>
        <v>9.1240274851725158E-10</v>
      </c>
      <c r="P49" s="320">
        <f>C.sA*FRs.sA*(Molweight*1000)/(FRACs.sA*RHOsolid)</f>
        <v>8.7406364935489136E-10</v>
      </c>
      <c r="Q49" s="320">
        <f>C.sT*FRs.sT*(Molweight*1000)/(FRACs.sT*RHOsolid)</f>
        <v>7.5260108733603251E-11</v>
      </c>
      <c r="R49" s="120" t="s">
        <v>1494</v>
      </c>
      <c r="S49" s="325">
        <f>S47*(1-FRACw.s3R)</f>
        <v>8.9212483074815266E-6</v>
      </c>
      <c r="T49" s="325">
        <f>T47*(1-FRACw.s3C)</f>
        <v>8.0015918778402646E-7</v>
      </c>
      <c r="U49" s="325">
        <f>U47*(1-FRACw.sM)</f>
        <v>3.9012238292863225E-8</v>
      </c>
      <c r="V49" s="325">
        <f>V47*(1-FRACw.sA)</f>
        <v>9.0885225451970605E-9</v>
      </c>
      <c r="W49" s="326">
        <f>W47*(1-FRACw.sT)</f>
        <v>6.7269443887747919E-9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9.708345432594349E-4</v>
      </c>
      <c r="AG49" s="336">
        <f>SUM(AG11:AG48)</f>
        <v>0.9503229249696783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1517563.469492275</v>
      </c>
      <c r="D51" s="130">
        <f>C51/SUM($C$51,$E$51,$G$51,$I$51,$K$51)</f>
        <v>0.26634387501810919</v>
      </c>
      <c r="E51" s="317">
        <f>SUM(E11,E15,E19,E23,E27,E31,E35,E39,E43,E47)</f>
        <v>1833342.709290314</v>
      </c>
      <c r="F51" s="130">
        <f>E51/SUM($C$51,$E$51,$G$51,$I$51,$K$51)</f>
        <v>0.32176552167004224</v>
      </c>
      <c r="G51" s="317">
        <f>SUM(G11,G15,G19,G23,G27,G31,G35,G39,G43,G47)</f>
        <v>1113943.1854854543</v>
      </c>
      <c r="H51" s="130">
        <f>G51/SUM($C$51,$E$51,$G$51,$I$51,$K$51)</f>
        <v>0.19550546025694418</v>
      </c>
      <c r="I51" s="317">
        <f>SUM(I11,I15,I19,I23,I27,I31,I35,I39,I43,I47)</f>
        <v>1087306.129491406</v>
      </c>
      <c r="J51" s="130">
        <f>I51/SUM($C$51,$E$51,$G$51,$I$51,$K$51)</f>
        <v>0.19083045531965295</v>
      </c>
      <c r="K51" s="317">
        <f>SUM(K11,K15,K19,K23,K27,K31,K35,K39,K43,K47)</f>
        <v>145604.4768390604</v>
      </c>
      <c r="L51" s="130">
        <f>K51/SUM($C$51,$E$51,$G$51,$I$51,$K$51)</f>
        <v>2.555468773525145E-2</v>
      </c>
      <c r="M51" s="199"/>
      <c r="N51" s="199"/>
      <c r="O51" s="199"/>
      <c r="P51" s="199"/>
      <c r="Q51" s="199"/>
      <c r="R51" s="199"/>
      <c r="S51" s="328">
        <f>SUM(S11,S15,S19,S23,S27,S35,S39,S43,S47)</f>
        <v>1.3340133506876525E-3</v>
      </c>
      <c r="T51" s="328">
        <f>SUM(T11,T15,T19,T23,T27,T35,T39,T43,T47)</f>
        <v>4.137065881407217E-6</v>
      </c>
      <c r="U51" s="328">
        <f>SUM(U11,U15,U19,U23,U27,U35,U39,U43,U47)</f>
        <v>7.9844436975369162E-8</v>
      </c>
      <c r="V51" s="328">
        <f>SUM(V11,V15,V19,V23,V27,V35,V39,V43,V47)</f>
        <v>1.7400786495488333E-8</v>
      </c>
      <c r="W51" s="328">
        <f>SUM(W11,W15,W19,W23,W27,W35,W39,W43,W47)</f>
        <v>1.4321236272291941E-8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3.5444501653181125E-7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7.3615176340070119E-7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2.5312981186281079E-5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2.0257715637941959E-6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1.9772424095056341E-5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1.5989973355926552E-6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3.0255204808334554E-7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1.9075514637517839E-5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3.0255204808334554E-7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1-Chloro-2-nitro-propane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3.0660600515967935E-2</v>
      </c>
      <c r="AY72" s="75"/>
      <c r="AZ72" s="256">
        <f>output!AF22</f>
        <v>8.3753884593302399E-5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0.7819175095933244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0.38459955605676793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0.12470782350734991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5.9284938876459625E-4</v>
      </c>
      <c r="BE84" s="2"/>
      <c r="BF84" s="304">
        <f>IF(output!AK30&lt;0,"",output!AK30)</f>
        <v>2.1957384769059115E-4</v>
      </c>
      <c r="BG84" s="75"/>
      <c r="BH84" s="311">
        <f>IF(output!AK29&lt;0,"",output!AK29)</f>
        <v>1.1006644367801061E-3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1.4293461761159016E-2</v>
      </c>
      <c r="AV85" s="87"/>
      <c r="AW85" s="75"/>
      <c r="AX85" s="304">
        <f>output!AL24</f>
        <v>1.7719983912035018E-3</v>
      </c>
      <c r="AY85" s="87"/>
      <c r="AZ85" s="201"/>
      <c r="BA85" s="311">
        <f>IF(output!AI23&lt;0,"",output!AI23)</f>
        <v>7.944859143840742E-5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1.4313367551812878E-3</v>
      </c>
      <c r="BE86" s="87"/>
      <c r="BF86" s="304">
        <f>IF(output!AJ30&lt;0,"",output!AJ30)</f>
        <v>5.3012472414121757E-4</v>
      </c>
      <c r="BG86" s="75"/>
      <c r="BH86" s="311">
        <f>IF(output!AJ29&lt;0,"",output!AJ29)</f>
        <v>3.1807483448473058E-3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0.37490501150343514</v>
      </c>
      <c r="AV87" s="200"/>
      <c r="AW87" s="84"/>
      <c r="AX87" s="304">
        <f>IF(output!AH24&lt;0,"",output!AH24)</f>
        <v>9.6780639212277093E-3</v>
      </c>
      <c r="AY87" s="291">
        <f>output!AL24</f>
        <v>1.7719983912035018E-3</v>
      </c>
      <c r="AZ87" s="75"/>
      <c r="BA87" s="311">
        <f>IF(output!AH23&lt;0,"",output!AH23)</f>
        <v>8.7982399283888289E-4</v>
      </c>
      <c r="BB87" s="291">
        <f>output!AL23</f>
        <v>1.61090762836682E-4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1.0495461855245565E-5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9.3020641813923541E-4</v>
      </c>
      <c r="AT89" s="83"/>
      <c r="AU89" s="302"/>
      <c r="AV89" s="75"/>
      <c r="AW89" s="81"/>
      <c r="AX89" s="265">
        <f>output!AD24</f>
        <v>1.0495461855245565E-5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4.9950258564692845E-2</v>
      </c>
      <c r="AT90" s="81"/>
      <c r="AU90" s="278">
        <f>output!AD25</f>
        <v>3.1519842147861438E-2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9.5097070238191216E-4</v>
      </c>
      <c r="BB91" s="309">
        <f>IF(ISERROR(output!F15),0,output!F15)</f>
        <v>2.3880461209708956E-3</v>
      </c>
      <c r="BC91" s="2"/>
      <c r="BD91" s="295">
        <f>output!AG28</f>
        <v>2.3540369322505534E-4</v>
      </c>
      <c r="BE91" s="2"/>
      <c r="BF91" s="312">
        <f>output!AG30</f>
        <v>8.7186553046316766E-5</v>
      </c>
      <c r="BG91" s="75"/>
      <c r="BH91" s="295">
        <f>output!AG29</f>
        <v>9.6041883956137029E-4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6.9844856141485839E-3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2.7813287546778263E-3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1.1594130120086862E-4</v>
      </c>
      <c r="AZ96" s="75"/>
      <c r="BA96" s="75"/>
      <c r="BB96" s="43"/>
      <c r="BC96" s="2"/>
      <c r="BD96" s="277">
        <f>IF(ISERROR(output!F39),0,output!F39)</f>
        <v>1.1841244520439133E-3</v>
      </c>
      <c r="BE96" s="43"/>
      <c r="BF96" s="277">
        <f>IF(ISERROR(output!F47),0,output!F47)</f>
        <v>4.3856461186811597E-4</v>
      </c>
      <c r="BG96" s="43"/>
      <c r="BH96" s="277">
        <f>IF(ISERROR(output!F43),0,output!F43)</f>
        <v>4.8310857682296307E-3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0.34217506249978302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1.1945182282668059E-4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3.1367904463112012E-6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0.85926268898628821</v>
      </c>
      <c r="AW101" s="56"/>
      <c r="AX101" s="307"/>
      <c r="AY101" s="276">
        <f>IF(ISERROR(output!F23),0,output!F23)</f>
        <v>7.0924192540662085E-5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2.1200109319186654E-4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2.180719188537826E-4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1.3225674656007445E-4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5.8493679548342519E-6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2.2145770708180403E-7</v>
      </c>
      <c r="AW111" s="75"/>
      <c r="AX111" s="290">
        <f>output!AF26</f>
        <v>3.7373117950079234E-7</v>
      </c>
      <c r="AY111" s="75"/>
      <c r="AZ111" s="75"/>
      <c r="BA111" s="75"/>
      <c r="BB111" s="76"/>
      <c r="BC111" s="2"/>
      <c r="BD111" s="295">
        <f>output!AF28</f>
        <v>4.0359978375330451E-6</v>
      </c>
      <c r="BE111" s="76"/>
      <c r="BF111" s="295">
        <f>output!AF30</f>
        <v>1.4948140139011274E-6</v>
      </c>
      <c r="BG111" s="43"/>
      <c r="BH111" s="294">
        <f>output!AF29</f>
        <v>7.4930992101569677E-6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3.1757777409961204E-8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5.0238759614107441E-9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4.4526307919494174E-8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2.1211271933589371E-9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3.4780298578519572E-8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1.6742641624811734E-9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2.713631464037857E-8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1.2455202334469789E-8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2.713631464037857E-8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1-Chloro-2-nitro-propane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0.13985828611079754</v>
      </c>
      <c r="AT136" s="81">
        <f>output!AD32</f>
        <v>0.34009455212207745</v>
      </c>
      <c r="AU136" s="268">
        <f>output!AF32</f>
        <v>4.3993641526664193E-5</v>
      </c>
      <c r="AV136" s="221"/>
      <c r="AW136" s="221"/>
      <c r="AX136" s="221"/>
      <c r="AY136" s="279">
        <f>output!AE38</f>
        <v>9.6557716311830629E-3</v>
      </c>
      <c r="AZ136" s="266">
        <f>output!AD38</f>
        <v>4.5554514844149331E-2</v>
      </c>
      <c r="BA136" s="268">
        <f>output!AF38</f>
        <v>5.1089776619043803E-6</v>
      </c>
      <c r="BB136" s="75"/>
      <c r="BC136" s="75"/>
      <c r="BD136" s="75"/>
      <c r="BE136" s="279">
        <f>output!AE44</f>
        <v>1.4518027579762283E-2</v>
      </c>
      <c r="BF136" s="266">
        <f>output!AD44</f>
        <v>7.8902734224217244E-2</v>
      </c>
      <c r="BG136" s="268">
        <f>output!AF44</f>
        <v>1.3305011754142915E-5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1.610518096732691E-2</v>
      </c>
      <c r="AV141" s="223" t="s">
        <v>446</v>
      </c>
      <c r="AW141" s="221"/>
      <c r="AX141" s="221"/>
      <c r="AY141" s="2"/>
      <c r="AZ141" s="202"/>
      <c r="BA141" s="269">
        <f>output!AG38</f>
        <v>1.5640990993186867E-3</v>
      </c>
      <c r="BB141" s="47" t="s">
        <v>446</v>
      </c>
      <c r="BC141" s="75"/>
      <c r="BD141" s="75"/>
      <c r="BE141" s="2"/>
      <c r="BF141" s="202"/>
      <c r="BG141" s="269">
        <f>output!AG44</f>
        <v>5.4134276430986344E-3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0.10781005483824696</v>
      </c>
      <c r="AW142" s="221"/>
      <c r="AX142" s="221"/>
      <c r="AY142" s="203"/>
      <c r="AZ142" s="202"/>
      <c r="BA142" s="75"/>
      <c r="BB142" s="277">
        <f>IF(ISERROR(output!J11),0,output!J11)</f>
        <v>1.2826688969468444E-2</v>
      </c>
      <c r="BC142" s="75"/>
      <c r="BD142" s="75"/>
      <c r="BE142" s="203"/>
      <c r="BF142" s="75"/>
      <c r="BG142" s="75"/>
      <c r="BH142" s="277">
        <f>IF(ISERROR(output!L11),0,output!L11)</f>
        <v>0.24944392446067346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1.1911543396942426E-3</v>
      </c>
      <c r="AY144" s="2"/>
      <c r="AZ144" s="75"/>
      <c r="BA144" s="75"/>
      <c r="BB144" s="75"/>
      <c r="BC144" s="75"/>
      <c r="BD144" s="270">
        <f>k.sA.aA*M.sA*Molweight</f>
        <v>1.0900637642627789E-4</v>
      </c>
      <c r="BE144" s="2"/>
      <c r="BF144" s="75"/>
      <c r="BG144" s="75"/>
      <c r="BH144" s="75"/>
      <c r="BI144" s="75"/>
      <c r="BJ144" s="270">
        <f>k.sT.aT*M.sT*Molweight</f>
        <v>2.3813967728430614E-4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8.4911906277334945E-3</v>
      </c>
      <c r="AV145" s="221"/>
      <c r="AW145" s="221"/>
      <c r="AX145" s="221"/>
      <c r="AY145" s="2"/>
      <c r="AZ145" s="75"/>
      <c r="BA145" s="270">
        <f>k.w2A.aA*M.w2A*Molweight</f>
        <v>1.208804448942197E-3</v>
      </c>
      <c r="BB145" s="75"/>
      <c r="BC145" s="75"/>
      <c r="BD145" s="221"/>
      <c r="BE145" s="2"/>
      <c r="BF145" s="75"/>
      <c r="BG145" s="270">
        <f>k.w2T.aT*M.w2T*Molweight</f>
        <v>2.0633311016768773E-3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2.8758450625223655E-3</v>
      </c>
      <c r="AY146" s="2"/>
      <c r="AZ146" s="75"/>
      <c r="BA146" s="221"/>
      <c r="BB146" s="75"/>
      <c r="BC146" s="75"/>
      <c r="BD146" s="270">
        <f>IF(output!AJ42&lt;0,"",output!AJ42)</f>
        <v>3.3395947967676699E-4</v>
      </c>
      <c r="BE146" s="2"/>
      <c r="BF146" s="75"/>
      <c r="BG146" s="221"/>
      <c r="BH146" s="75"/>
      <c r="BI146" s="75"/>
      <c r="BJ146" s="270">
        <f>IF(output!AJ48&lt;0,"",output!AJ48)</f>
        <v>5.1594655546922258E-4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0.13750009391027002</v>
      </c>
      <c r="AT147" s="81">
        <f>output!AD33</f>
        <v>5.5530544392461953E-2</v>
      </c>
      <c r="AU147" s="270">
        <f>IF(output!AH33&lt;0,"",output!AH33)</f>
        <v>0.19089359130733161</v>
      </c>
      <c r="AV147" s="272">
        <f>output!AL33</f>
        <v>1.2036079512011133E-3</v>
      </c>
      <c r="AW147" s="221"/>
      <c r="AX147" s="221"/>
      <c r="AY147" s="279">
        <f>output!AE39</f>
        <v>5.1285327826947356E-2</v>
      </c>
      <c r="AZ147" s="266">
        <f>output!AD39</f>
        <v>2.6004152398092544E-2</v>
      </c>
      <c r="BA147" s="270">
        <f>IF(output!AH39&lt;0,"",output!AH39)</f>
        <v>3.5313386481677388E-2</v>
      </c>
      <c r="BB147" s="272">
        <f>output!AL39</f>
        <v>1.805221424217017E-4</v>
      </c>
      <c r="BC147" s="75"/>
      <c r="BD147" s="75"/>
      <c r="BE147" s="279">
        <f>output!AE45</f>
        <v>1.8521905088510111E-2</v>
      </c>
      <c r="BF147" s="266">
        <f>output!AD45</f>
        <v>2.5023828317116275E-4</v>
      </c>
      <c r="BG147" s="270">
        <f>IF(output!AH45&lt;0,"",output!AH45)</f>
        <v>6.0743498213094139E-2</v>
      </c>
      <c r="BH147" s="272">
        <f>output!AL45</f>
        <v>1.8182437206491818E-4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0.42005652966739487</v>
      </c>
      <c r="AW150" s="221"/>
      <c r="AX150" s="221"/>
      <c r="AY150" s="2"/>
      <c r="AZ150" s="75"/>
      <c r="BA150" s="59"/>
      <c r="BB150" s="273">
        <f>IF(ISERROR(output!J27),0,output!J27)</f>
        <v>0.17517311725904786</v>
      </c>
      <c r="BC150" s="78"/>
      <c r="BD150" s="75"/>
      <c r="BE150" s="2"/>
      <c r="BF150" s="75"/>
      <c r="BG150" s="59"/>
      <c r="BH150" s="273">
        <f>IF(ISERROR(output!L27),0,output!L27)</f>
        <v>0.52123078406455858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4.7297363559637004E-4</v>
      </c>
      <c r="AY151" s="2"/>
      <c r="AZ151" s="75"/>
      <c r="BA151" s="59"/>
      <c r="BB151" s="49"/>
      <c r="BC151" s="75"/>
      <c r="BD151" s="274">
        <f>output!AJ42</f>
        <v>3.3395947967676699E-4</v>
      </c>
      <c r="BE151" s="2"/>
      <c r="BF151" s="75"/>
      <c r="BG151" s="59"/>
      <c r="BH151" s="59"/>
      <c r="BI151" s="75"/>
      <c r="BJ151" s="274">
        <f>output!AG48</f>
        <v>9.4757440951934283E-5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0.1016364591129911</v>
      </c>
      <c r="AW152" s="221"/>
      <c r="AX152" s="221"/>
      <c r="AY152" s="2"/>
      <c r="AZ152" s="75"/>
      <c r="BA152" s="59"/>
      <c r="BB152" s="257">
        <f>output!AG39</f>
        <v>9.0039287463020909E-3</v>
      </c>
      <c r="BC152" s="2"/>
      <c r="BD152" s="75"/>
      <c r="BE152" s="2"/>
      <c r="BF152" s="75"/>
      <c r="BG152" s="59"/>
      <c r="BH152" s="257">
        <f>output!AG45</f>
        <v>4.0590324678143247E-2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4.3309149403699745E-3</v>
      </c>
      <c r="AU153" s="224"/>
      <c r="AV153" s="225"/>
      <c r="AW153" s="221"/>
      <c r="AX153" s="221"/>
      <c r="AY153" s="2"/>
      <c r="AZ153" s="275">
        <f>k.w3A.w2A*M.w3A*Molweight</f>
        <v>7.9077752870960437E-3</v>
      </c>
      <c r="BA153" s="59"/>
      <c r="BB153" s="49"/>
      <c r="BC153" s="2"/>
      <c r="BD153" s="75"/>
      <c r="BE153" s="2"/>
      <c r="BF153" s="275">
        <f>k.w3T.w2T*M.w3T*Molweight</f>
        <v>2.5023828317116275E-4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0.11656420302464614</v>
      </c>
      <c r="AU155" s="221"/>
      <c r="AV155" s="223" t="s">
        <v>2166</v>
      </c>
      <c r="AW155" s="221"/>
      <c r="AX155" s="271">
        <f>IF(ISERROR(output!H47),0,output!H47)</f>
        <v>3.9156297994797752E-3</v>
      </c>
      <c r="AY155" s="2"/>
      <c r="AZ155" s="275">
        <f>k.w2A.w3A*M.w2A*Molweight</f>
        <v>5.1285327826947356E-2</v>
      </c>
      <c r="BA155" s="75"/>
      <c r="BB155" s="223" t="s">
        <v>2166</v>
      </c>
      <c r="BC155" s="47"/>
      <c r="BD155" s="271">
        <f>IF(ISERROR(output!J47),0,output!J47)</f>
        <v>1.6841295848357975E-3</v>
      </c>
      <c r="BE155" s="2"/>
      <c r="BF155" s="275">
        <f>k.w2T.w3T*M.w2T*Molweight</f>
        <v>1.7246383481348205E-2</v>
      </c>
      <c r="BG155" s="75"/>
      <c r="BH155" s="223" t="s">
        <v>2166</v>
      </c>
      <c r="BI155" s="47"/>
      <c r="BJ155" s="271">
        <f>IF(ISERROR(output!L47),0,output!L47)</f>
        <v>2.4374029583155523E-3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0.46821298124051752</v>
      </c>
      <c r="AW156" s="221"/>
      <c r="AX156" s="221"/>
      <c r="AY156" s="203"/>
      <c r="AZ156" s="2"/>
      <c r="BA156" s="75"/>
      <c r="BB156" s="273">
        <f>IF(ISERROR(output!J31),0,output!J31)</f>
        <v>0.81030757118227159</v>
      </c>
      <c r="BC156" s="75"/>
      <c r="BD156" s="75"/>
      <c r="BE156" s="203"/>
      <c r="BF156" s="2"/>
      <c r="BG156" s="75"/>
      <c r="BH156" s="273">
        <f>IF(ISERROR(output!L31),0,output!L31)</f>
        <v>0.22688564825431659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5.0032814814084158E-3</v>
      </c>
      <c r="AT157" s="266">
        <f>output!AD34</f>
        <v>0.1182917567284104</v>
      </c>
      <c r="AU157" s="221"/>
      <c r="AV157" s="225"/>
      <c r="AW157" s="226"/>
      <c r="AX157" s="221"/>
      <c r="AY157" s="279">
        <f>output!AE40</f>
        <v>9.6353289908603125E-3</v>
      </c>
      <c r="AZ157" s="266">
        <f>output!AD40</f>
        <v>5.1285327826947356E-2</v>
      </c>
      <c r="BA157" s="75"/>
      <c r="BB157" s="2"/>
      <c r="BC157" s="76"/>
      <c r="BD157" s="75"/>
      <c r="BE157" s="279">
        <f>output!AE46</f>
        <v>2.5023828317116275E-4</v>
      </c>
      <c r="BF157" s="266">
        <f>output!AD46</f>
        <v>1.7918750022386645E-2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0.11328834612261307</v>
      </c>
      <c r="AW158" s="226"/>
      <c r="AX158" s="221"/>
      <c r="AY158" s="2"/>
      <c r="AZ158" s="75"/>
      <c r="BA158" s="75"/>
      <c r="BB158" s="274">
        <f>output!AG40</f>
        <v>4.1649950332989467E-2</v>
      </c>
      <c r="BC158" s="2"/>
      <c r="BD158" s="75"/>
      <c r="BE158" s="2"/>
      <c r="BF158" s="75"/>
      <c r="BG158" s="75"/>
      <c r="BH158" s="274">
        <f>output!AG46</f>
        <v>1.7668492362709457E-2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4.6842026143378056E-6</v>
      </c>
      <c r="AU159" s="221"/>
      <c r="AV159" s="221"/>
      <c r="AW159" s="226"/>
      <c r="AX159" s="221"/>
      <c r="AY159" s="2"/>
      <c r="AZ159" s="272">
        <f>k.sdA.w3A*M.sdA*Molweight</f>
        <v>8.0824341448616638E-6</v>
      </c>
      <c r="BA159" s="2"/>
      <c r="BB159" s="75"/>
      <c r="BC159" s="2"/>
      <c r="BD159" s="75"/>
      <c r="BE159" s="2"/>
      <c r="BF159" s="275">
        <f>k.sdT.w3T*M.sdT*Molweight</f>
        <v>2.8549766290980629E-7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4.8133270032880471E-6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8.1309372424291845E-6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3.0487416893515485E-7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4.8044543606813244E-6</v>
      </c>
      <c r="AW162" s="221"/>
      <c r="AX162" s="221"/>
      <c r="AY162" s="2"/>
      <c r="AZ162" s="75"/>
      <c r="BA162" s="47"/>
      <c r="BB162" s="276">
        <f>IF(ISERROR(output!J35),0,output!J35)</f>
        <v>8.4930043761808462E-6</v>
      </c>
      <c r="BC162" s="75"/>
      <c r="BD162" s="75"/>
      <c r="BE162" s="2"/>
      <c r="BF162" s="75"/>
      <c r="BG162" s="47"/>
      <c r="BH162" s="276">
        <f>IF(ISERROR(output!L35),0,output!L35)</f>
        <v>2.240262135961586E-6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1.2910841926442342E-7</v>
      </c>
      <c r="AV164" s="269">
        <f>output!AF35</f>
        <v>1.5969685817367617E-11</v>
      </c>
      <c r="AW164" s="221"/>
      <c r="AX164" s="274">
        <f>output!AF36</f>
        <v>8.1091360306402989E-6</v>
      </c>
      <c r="AY164" s="2"/>
      <c r="AZ164" s="2"/>
      <c r="BA164" s="269">
        <f>output!AG41</f>
        <v>4.8483575971639838E-8</v>
      </c>
      <c r="BB164" s="269">
        <f>output!AF41</f>
        <v>1.9521595881994483E-11</v>
      </c>
      <c r="BC164" s="75"/>
      <c r="BD164" s="274">
        <f>output!AF42</f>
        <v>1.2160503240696815E-6</v>
      </c>
      <c r="BE164" s="2"/>
      <c r="BF164" s="2"/>
      <c r="BG164" s="269">
        <f>output!AG47</f>
        <v>1.9375816459569139E-8</v>
      </c>
      <c r="BH164" s="269">
        <f>output!AF47</f>
        <v>6.8956577940352673E-13</v>
      </c>
      <c r="BI164" s="75"/>
      <c r="BJ164" s="274">
        <f>output!AF48</f>
        <v>1.225065168064142E-6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120094.27591387833</v>
      </c>
      <c r="BA172" s="128">
        <f>output!I11</f>
        <v>13946.537537582846</v>
      </c>
      <c r="BB172" s="128">
        <f>output!K11</f>
        <v>36320.152121778461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467919.10874166311</v>
      </c>
      <c r="BA173" s="128">
        <f>output!I27</f>
        <v>190466.80411787954</v>
      </c>
      <c r="BB173" s="128">
        <f>output!K27</f>
        <v>75893.535626133307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521562.65980870335</v>
      </c>
      <c r="BA174" s="128">
        <f>output!I31</f>
        <v>881052.3889197777</v>
      </c>
      <c r="BB174" s="128">
        <f>output!K31</f>
        <v>33035.566116360846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5.3518891950568364</v>
      </c>
      <c r="BA175" s="128">
        <f>output!I35</f>
        <v>9.2344957160187686</v>
      </c>
      <c r="BB175" s="128">
        <f>output!K35</f>
        <v>0.32619219628904272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4361.7891320142717</v>
      </c>
      <c r="BA176" s="128">
        <f>output!I47</f>
        <v>1831.1644204497795</v>
      </c>
      <c r="BB176" s="128">
        <f>output!K47</f>
        <v>354.89678259151412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1-Chloro-2-nitro-propane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0.18992533235328365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0.56977599705985094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0.56977599705985094</v>
      </c>
      <c r="G11" s="508">
        <f>2*Scale*(M.tot/Emis.tot)/(3600*24*365)</f>
        <v>1.1395519941197019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2.5667631523202679</v>
      </c>
      <c r="H15" s="482">
        <v>0</v>
      </c>
      <c r="I15" s="482">
        <v>2.5667631523202679</v>
      </c>
      <c r="J15" s="482">
        <v>0</v>
      </c>
      <c r="K15" s="482">
        <v>0</v>
      </c>
      <c r="L15" s="482">
        <v>0</v>
      </c>
      <c r="M15" s="482">
        <v>0</v>
      </c>
      <c r="N15" s="482">
        <v>2.5667631523202679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295" activePane="bottomLeft" state="frozen"/>
      <selection pane="bottomLeft" activeCell="B311" sqref="B311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304</v>
      </c>
      <c r="B6" s="439" t="str">
        <f t="shared" ref="B6:Z6" si="0">IF(ISBLANK(VLOOKUP($A6,$A$8:$Z$1041,COLUMN(),0)),"",VLOOKUP($A6,$A$8:$Z$1041,COLUMN(),0))</f>
        <v>1-Chloro-2-nitro-propane</v>
      </c>
      <c r="C6" s="439" t="str">
        <f t="shared" si="0"/>
        <v>2425-66-3</v>
      </c>
      <c r="D6" s="439" t="str">
        <f t="shared" si="0"/>
        <v>Neutral</v>
      </c>
      <c r="E6" s="544" t="str">
        <f t="shared" si="0"/>
        <v/>
      </c>
      <c r="F6" s="544">
        <f t="shared" si="0"/>
        <v>123.54</v>
      </c>
      <c r="G6" s="544" t="str">
        <f t="shared" si="0"/>
        <v/>
      </c>
      <c r="H6" s="545">
        <f t="shared" si="0"/>
        <v>185.33333328699999</v>
      </c>
      <c r="I6" s="545">
        <f t="shared" si="0"/>
        <v>8000</v>
      </c>
      <c r="J6" s="545" t="str">
        <f t="shared" si="0"/>
        <v/>
      </c>
      <c r="K6" s="545">
        <f t="shared" si="0"/>
        <v>13.489628825916535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1.4904750000000001E-7</v>
      </c>
      <c r="R6" s="545">
        <f t="shared" si="0"/>
        <v>5.3483578746909358E-7</v>
      </c>
      <c r="S6" s="545">
        <f t="shared" si="0"/>
        <v>5.9426198607677063E-8</v>
      </c>
      <c r="T6" s="545">
        <f t="shared" si="0"/>
        <v>2.6741789373454679E-7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10000.000000000002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10000.000000000002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10000.000000000002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5.9400000000000003E-8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2.67E-7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0.99999965016622616</v>
      </c>
      <c r="M220" s="452">
        <f t="shared" si="0"/>
        <v>0.99999965016622616</v>
      </c>
      <c r="N220" s="452">
        <f t="shared" si="0"/>
        <v>0.99999965016622616</v>
      </c>
      <c r="O220" s="452">
        <f t="shared" si="0"/>
        <v>0.99999965016622616</v>
      </c>
      <c r="P220" s="452">
        <f t="shared" si="0"/>
        <v>0.99999965016622616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3.4983377384365475E-7</v>
      </c>
      <c r="M222" s="452">
        <f>(0.00015*0.172)/((IF(Tm&gt;298,EXP(-6.79*(1-Tm/298))*Pvap25*EXP((H0vap/8.314)*(1/298-1/TEMP.R)),Pvap25*EXP((H0vap/8.314)*(1/298-1/TEMP.R))))+(0.00015*0.172))</f>
        <v>3.4983377384365475E-7</v>
      </c>
      <c r="N222" s="452">
        <f>(0.00015*0.172)/((IF(Tm&gt;298,EXP(-6.79*(1-Tm/298))*Pvap25*EXP((H0vap/8.314)*(1/298-1/TEMP.R)),Pvap25*EXP((H0vap/8.314)*(1/298-1/TEMP.R))))+(0.00015*0.172))</f>
        <v>3.4983377384365475E-7</v>
      </c>
      <c r="O222" s="452">
        <f>(0.00015*0.172)/((IF(Tm&gt;298,EXP(-6.79*(1-Tm/298))*Pvap25*EXP((H0vap/8.314)*(1/298-1/TEMP.R)),Pvap25*EXP((H0vap/8.314)*(1/298-1/TEMP.R))))+(0.00015*0.172))</f>
        <v>3.4983377384365475E-7</v>
      </c>
      <c r="P222" s="452">
        <f>(0.00015*0.172)/((IF(Tm&gt;298,EXP(-6.79*(1-Tm/298))*Pvap25*EXP((H0vap/8.314)*(1/298-1/TEMP.R)),Pvap25*EXP((H0vap/8.314)*(1/298-1/TEMP.R))))+(0.00015*0.172))</f>
        <v>3.4983377384365475E-7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0.9999988071491579</v>
      </c>
      <c r="M226" s="452">
        <f t="shared" si="1"/>
        <v>0.9999988071491579</v>
      </c>
      <c r="N226" s="452">
        <f t="shared" si="1"/>
        <v>0.9999988071491579</v>
      </c>
      <c r="O226" s="452">
        <f t="shared" si="1"/>
        <v>0.9999988071491579</v>
      </c>
      <c r="P226" s="452">
        <f t="shared" si="1"/>
        <v>0.9999988071491579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0.99998377465711386</v>
      </c>
      <c r="M232" s="452">
        <f t="shared" si="2"/>
        <v>0.99998377465711386</v>
      </c>
      <c r="N232" s="452">
        <f t="shared" si="2"/>
        <v>0.99998377465711386</v>
      </c>
      <c r="O232" s="452">
        <f t="shared" si="2"/>
        <v>0.99998377465711386</v>
      </c>
      <c r="P232" s="452">
        <f t="shared" si="2"/>
        <v>0.99998377465711386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0.99999414184463997</v>
      </c>
      <c r="M238" s="452">
        <f t="shared" si="3"/>
        <v>0.99999414184463997</v>
      </c>
      <c r="N238" s="452">
        <f t="shared" si="3"/>
        <v>0.99999414184463997</v>
      </c>
      <c r="O238" s="452">
        <f t="shared" si="3"/>
        <v>0.99999414184463997</v>
      </c>
      <c r="P238" s="452">
        <f t="shared" si="3"/>
        <v>0.99999414184463997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9.4111902065395957E-9</v>
      </c>
      <c r="M268" s="451">
        <f>((DRYDEPaerosol.R+AerosolWashout.R+GasWashout.R+GASABS.aR.wR)/HEIGHT.aR)*AREAFRAC.w0R</f>
        <v>9.4111902065395957E-9</v>
      </c>
      <c r="N268" s="451">
        <f>((DRYDEPaerosol.R+AerosolWashout.R+GasWashout.R+GASABS.aR.wR)/HEIGHT.aR)*AREAFRAC.w0R</f>
        <v>9.4111902065395957E-9</v>
      </c>
      <c r="O268" s="451">
        <f>((DRYDEPaerosol.R+AerosolWashout.R+GasWashout.R+GASABS.aR.wR)/HEIGHT.aR)*AREAFRAC.w0R</f>
        <v>9.4111902065395957E-9</v>
      </c>
      <c r="P268" s="451">
        <f>((DRYDEPaerosol.R+AerosolWashout.R+GasWashout.R+GASABS.aR.wR)/HEIGHT.aR)*AREAFRAC.w0R</f>
        <v>9.4111902065395957E-9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1.0352309227193557E-7</v>
      </c>
      <c r="M269" s="451">
        <f>((DRYDEPaerosol.R+AerosolWashout.R+GasWashout.R+GASABS.aR.wR)/HEIGHT.aR)*AREAFRAC.w1R</f>
        <v>1.0352309227193557E-7</v>
      </c>
      <c r="N269" s="451">
        <f>((DRYDEPaerosol.R+AerosolWashout.R+GasWashout.R+GASABS.aR.wR)/HEIGHT.aR)*AREAFRAC.w1R</f>
        <v>1.0352309227193557E-7</v>
      </c>
      <c r="O269" s="451">
        <f>((DRYDEPaerosol.R+AerosolWashout.R+GasWashout.R+GASABS.aR.wR)/HEIGHT.aR)*AREAFRAC.w1R</f>
        <v>1.0352309227193557E-7</v>
      </c>
      <c r="P269" s="451">
        <f>((DRYDEPaerosol.R+AerosolWashout.R+GasWashout.R+GASABS.aR.wR)/HEIGHT.aR)*AREAFRAC.w1R</f>
        <v>1.0352309227193557E-7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1.6469685796980543E-8</v>
      </c>
      <c r="M270" s="451">
        <f>((DRYDEPaerosol.R+AerosolWashout.R+GasWashout.R+GASABS.aR.wR)/HEIGHT.aR)*AREAFRAC.w2R</f>
        <v>1.6469685796980543E-8</v>
      </c>
      <c r="N270" s="451">
        <f>((DRYDEPaerosol.R+AerosolWashout.R+GasWashout.R+GASABS.aR.wR)/HEIGHT.aR)*AREAFRAC.w2R</f>
        <v>1.6469685796980543E-8</v>
      </c>
      <c r="O270" s="451">
        <f>((DRYDEPaerosol.R+AerosolWashout.R+GasWashout.R+GASABS.aR.wR)/HEIGHT.aR)*AREAFRAC.w2R</f>
        <v>1.6469685796980543E-8</v>
      </c>
      <c r="P270" s="451">
        <f>((DRYDEPaerosol.R+AerosolWashout.R+GasWashout.R+GASABS.aR.wR)/HEIGHT.aR)*AREAFRAC.w2R</f>
        <v>1.6469685796980543E-8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1.7467547551382265E-7</v>
      </c>
      <c r="M271" s="451">
        <f>((DRYDEPaerosol.R+AerosolWashout.R+GasWashout.R+GASABS.aR.sR)/HEIGHT.aR)*AREAFRAC.s1R</f>
        <v>1.7467547551382265E-7</v>
      </c>
      <c r="N271" s="451">
        <f>((DRYDEPaerosol.R+AerosolWashout.R+GasWashout.R+GASABS.aR.sR)/HEIGHT.aR)*AREAFRAC.s1R</f>
        <v>1.7467547551382265E-7</v>
      </c>
      <c r="O271" s="451">
        <f>((DRYDEPaerosol.R+AerosolWashout.R+GasWashout.R+GASABS.aR.sR)/HEIGHT.aR)*AREAFRAC.s1R</f>
        <v>1.7467547551382265E-7</v>
      </c>
      <c r="P271" s="451">
        <f>((DRYDEPaerosol.R+AerosolWashout.R+GasWashout.R+GASABS.aR.sR)/HEIGHT.aR)*AREAFRAC.s1R</f>
        <v>1.7467547551382265E-7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3.8816772336405022E-7</v>
      </c>
      <c r="M272" s="451">
        <f>((DRYDEPaerosol.R+AerosolWashout.R+GasWashout.R+GASABS.aR.sR)/HEIGHT.aR)*AREAFRAC.s2R</f>
        <v>3.8816772336405022E-7</v>
      </c>
      <c r="N272" s="451">
        <f>((DRYDEPaerosol.R+AerosolWashout.R+GasWashout.R+GASABS.aR.sR)/HEIGHT.aR)*AREAFRAC.s2R</f>
        <v>3.8816772336405022E-7</v>
      </c>
      <c r="O272" s="451">
        <f>((DRYDEPaerosol.R+AerosolWashout.R+GasWashout.R+GASABS.aR.sR)/HEIGHT.aR)*AREAFRAC.s2R</f>
        <v>3.8816772336405022E-7</v>
      </c>
      <c r="P272" s="451">
        <f>((DRYDEPaerosol.R+AerosolWashout.R+GasWashout.R+GASABS.aR.sR)/HEIGHT.aR)*AREAFRAC.s2R</f>
        <v>3.8816772336405022E-7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6.4694620560675046E-8</v>
      </c>
      <c r="M273" s="451">
        <f>((DRYDEPaerosol.R+AerosolWashout.R+GasWashout.R+GASABS.aR.sR)/HEIGHT.aR)*AREAFRAC.s3R</f>
        <v>6.4694620560675046E-8</v>
      </c>
      <c r="N273" s="451">
        <f>((DRYDEPaerosol.R+AerosolWashout.R+GasWashout.R+GASABS.aR.sR)/HEIGHT.aR)*AREAFRAC.s3R</f>
        <v>6.4694620560675046E-8</v>
      </c>
      <c r="O273" s="451">
        <f>((DRYDEPaerosol.R+AerosolWashout.R+GasWashout.R+GASABS.aR.sR)/HEIGHT.aR)*AREAFRAC.s3R</f>
        <v>6.4694620560675046E-8</v>
      </c>
      <c r="P273" s="451">
        <f>((DRYDEPaerosol.R+AerosolWashout.R+GasWashout.R+GASABS.aR.sR)/HEIGHT.aR)*AREAFRAC.s3R</f>
        <v>6.4694620560675046E-8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2.5223704076650727E-11</v>
      </c>
      <c r="M286" s="451">
        <f>AEROSOLdeprate.R*FRaers.aR</f>
        <v>2.5223704076650727E-11</v>
      </c>
      <c r="N286" s="451">
        <f>AEROSOLdeprate.R*FRaers.aR</f>
        <v>2.5223704076650727E-11</v>
      </c>
      <c r="O286" s="451">
        <f>AEROSOLdeprate.R*FRaers.aR</f>
        <v>2.5223704076650727E-11</v>
      </c>
      <c r="P286" s="451">
        <f>AEROSOLdeprate.R*FRaers.aR</f>
        <v>2.5223704076650727E-11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2.6564198287364644E-10</v>
      </c>
      <c r="M287" s="452">
        <f t="shared" si="4"/>
        <v>2.6564198287364644E-10</v>
      </c>
      <c r="N287" s="452">
        <f t="shared" si="4"/>
        <v>2.6564198287364644E-10</v>
      </c>
      <c r="O287" s="452">
        <f t="shared" si="4"/>
        <v>2.6564198287364644E-10</v>
      </c>
      <c r="P287" s="452">
        <f t="shared" si="4"/>
        <v>2.6564198287364644E-10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3.8416151291077661E-5</v>
      </c>
      <c r="M288" s="452">
        <f t="shared" si="5"/>
        <v>3.8416151291077661E-5</v>
      </c>
      <c r="N288" s="452">
        <f t="shared" si="5"/>
        <v>3.8416151291077661E-5</v>
      </c>
      <c r="O288" s="452">
        <f t="shared" si="5"/>
        <v>3.8416151291077661E-5</v>
      </c>
      <c r="P288" s="452">
        <f t="shared" si="5"/>
        <v>3.8416151291077661E-5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0.99999965016622616</v>
      </c>
      <c r="M445" s="452">
        <f t="shared" si="6"/>
        <v>0.99999965016622616</v>
      </c>
      <c r="N445" s="452">
        <f t="shared" si="6"/>
        <v>0.99999965016622616</v>
      </c>
      <c r="O445" s="452">
        <f t="shared" si="6"/>
        <v>0.99999965016622616</v>
      </c>
      <c r="P445" s="452">
        <f t="shared" si="6"/>
        <v>0.99999965016622616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3.498337738436548E-7</v>
      </c>
      <c r="M447" s="452">
        <f t="shared" si="7"/>
        <v>3.498337738436548E-7</v>
      </c>
      <c r="N447" s="452">
        <f t="shared" si="7"/>
        <v>3.498337738436548E-7</v>
      </c>
      <c r="O447" s="452">
        <f t="shared" si="7"/>
        <v>3.498337738436548E-7</v>
      </c>
      <c r="P447" s="452">
        <f t="shared" si="7"/>
        <v>3.498337738436548E-7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0.9999988071491579</v>
      </c>
      <c r="M451" s="452">
        <f t="shared" si="8"/>
        <v>0.9999988071491579</v>
      </c>
      <c r="N451" s="452">
        <f t="shared" si="8"/>
        <v>0.9999988071491579</v>
      </c>
      <c r="O451" s="452">
        <f t="shared" si="8"/>
        <v>0.9999988071491579</v>
      </c>
      <c r="P451" s="452">
        <f t="shared" si="8"/>
        <v>0.9999988071491579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0.99998377465711386</v>
      </c>
      <c r="M457" s="452">
        <f t="shared" si="9"/>
        <v>0.99998377465711386</v>
      </c>
      <c r="N457" s="452">
        <f t="shared" si="9"/>
        <v>0.99998377465711386</v>
      </c>
      <c r="O457" s="452">
        <f t="shared" si="9"/>
        <v>0.99998377465711386</v>
      </c>
      <c r="P457" s="452">
        <f t="shared" si="9"/>
        <v>0.99998377465711386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0.99999414184463997</v>
      </c>
      <c r="M463" s="452">
        <f t="shared" si="10"/>
        <v>0.99999414184463997</v>
      </c>
      <c r="N463" s="452">
        <f t="shared" si="10"/>
        <v>0.99999414184463997</v>
      </c>
      <c r="O463" s="452">
        <f t="shared" si="10"/>
        <v>0.99999414184463997</v>
      </c>
      <c r="P463" s="452">
        <f t="shared" si="10"/>
        <v>0.99999414184463997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4.5767864698976088E-9</v>
      </c>
      <c r="M493" s="451">
        <f>((DRYDEPaerosol.C+AerosolWashout.C+GasWashout.C+GASABS.aC.wC)/HEIGHT.aC)*AREAFRAC.w0C</f>
        <v>4.5767864698976088E-9</v>
      </c>
      <c r="N493" s="451">
        <f>((DRYDEPaerosol.C+AerosolWashout.C+GasWashout.C+GASABS.aC.wC)/HEIGHT.aC)*AREAFRAC.w0C</f>
        <v>4.5767864698976088E-9</v>
      </c>
      <c r="O493" s="451">
        <f>((DRYDEPaerosol.C+AerosolWashout.C+GasWashout.C+GASABS.aC.wC)/HEIGHT.aC)*AREAFRAC.w0C</f>
        <v>4.5767864698976088E-9</v>
      </c>
      <c r="P493" s="451">
        <f>((DRYDEPaerosol.C+AerosolWashout.C+GasWashout.C+GASABS.aC.wC)/HEIGHT.aC)*AREAFRAC.w0C</f>
        <v>4.5767864698976088E-9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5.034465116887369E-8</v>
      </c>
      <c r="M494" s="451">
        <f>((DRYDEPaerosol.C+AerosolWashout.C+GasWashout.C+GASABS.aC.wC)/HEIGHT.aC)*AREAFRAC.w1C</f>
        <v>5.034465116887369E-8</v>
      </c>
      <c r="N494" s="451">
        <f>((DRYDEPaerosol.C+AerosolWashout.C+GasWashout.C+GASABS.aC.wC)/HEIGHT.aC)*AREAFRAC.w1C</f>
        <v>5.034465116887369E-8</v>
      </c>
      <c r="O494" s="451">
        <f>((DRYDEPaerosol.C+AerosolWashout.C+GasWashout.C+GASABS.aC.wC)/HEIGHT.aC)*AREAFRAC.w1C</f>
        <v>5.034465116887369E-8</v>
      </c>
      <c r="P494" s="451">
        <f>((DRYDEPaerosol.C+AerosolWashout.C+GasWashout.C+GASABS.aC.wC)/HEIGHT.aC)*AREAFRAC.w1C</f>
        <v>5.034465116887369E-8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1.9502311804537763E-6</v>
      </c>
      <c r="M495" s="451">
        <f>((DRYDEPaerosol.C+AerosolWashout.C+GasWashout.C+GASABS.aC.wC)/HEIGHT.aC)*AREAFRAC.w2C</f>
        <v>1.9502311804537763E-6</v>
      </c>
      <c r="N495" s="451">
        <f>((DRYDEPaerosol.C+AerosolWashout.C+GasWashout.C+GASABS.aC.wC)/HEIGHT.aC)*AREAFRAC.w2C</f>
        <v>1.9502311804537763E-6</v>
      </c>
      <c r="O495" s="451">
        <f>((DRYDEPaerosol.C+AerosolWashout.C+GasWashout.C+GASABS.aC.wC)/HEIGHT.aC)*AREAFRAC.w2C</f>
        <v>1.9502311804537763E-6</v>
      </c>
      <c r="P495" s="451">
        <f>((DRYDEPaerosol.C+AerosolWashout.C+GasWashout.C+GASABS.aC.wC)/HEIGHT.aC)*AREAFRAC.w2C</f>
        <v>1.9502311804537763E-6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8.4946997713325926E-8</v>
      </c>
      <c r="M496" s="451">
        <f>((DRYDEPaerosol.C+AerosolWashout.C+GasWashout.C+GASABS.aC.sC)/HEIGHT.aC)*AREAFRAC.s1C</f>
        <v>8.4946997713325926E-8</v>
      </c>
      <c r="N496" s="451">
        <f>((DRYDEPaerosol.C+AerosolWashout.C+GasWashout.C+GASABS.aC.sC)/HEIGHT.aC)*AREAFRAC.s1C</f>
        <v>8.4946997713325926E-8</v>
      </c>
      <c r="O496" s="451">
        <f>((DRYDEPaerosol.C+AerosolWashout.C+GasWashout.C+GASABS.aC.sC)/HEIGHT.aC)*AREAFRAC.s1C</f>
        <v>8.4946997713325926E-8</v>
      </c>
      <c r="P496" s="451">
        <f>((DRYDEPaerosol.C+AerosolWashout.C+GasWashout.C+GASABS.aC.sC)/HEIGHT.aC)*AREAFRAC.s1C</f>
        <v>8.4946997713325926E-8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1.8877110602961315E-7</v>
      </c>
      <c r="M497" s="451">
        <f>((DRYDEPaerosol.C+AerosolWashout.C+GasWashout.C+GASABS.aC.sC)/HEIGHT.aC)*AREAFRAC.s2C</f>
        <v>1.8877110602961315E-7</v>
      </c>
      <c r="N497" s="451">
        <f>((DRYDEPaerosol.C+AerosolWashout.C+GasWashout.C+GASABS.aC.sC)/HEIGHT.aC)*AREAFRAC.s2C</f>
        <v>1.8877110602961315E-7</v>
      </c>
      <c r="O497" s="451">
        <f>((DRYDEPaerosol.C+AerosolWashout.C+GasWashout.C+GASABS.aC.sC)/HEIGHT.aC)*AREAFRAC.s2C</f>
        <v>1.8877110602961315E-7</v>
      </c>
      <c r="P497" s="451">
        <f>((DRYDEPaerosol.C+AerosolWashout.C+GasWashout.C+GASABS.aC.sC)/HEIGHT.aC)*AREAFRAC.s2C</f>
        <v>1.8877110602961315E-7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3.1461851004935518E-8</v>
      </c>
      <c r="M498" s="451">
        <f>((DRYDEPaerosol.C+AerosolWashout.C+GasWashout.C+GASABS.aC.sC)/HEIGHT.aC)*AREAFRAC.s3C</f>
        <v>3.1461851004935518E-8</v>
      </c>
      <c r="N498" s="451">
        <f>((DRYDEPaerosol.C+AerosolWashout.C+GasWashout.C+GASABS.aC.sC)/HEIGHT.aC)*AREAFRAC.s3C</f>
        <v>3.1461851004935518E-8</v>
      </c>
      <c r="O498" s="451">
        <f>((DRYDEPaerosol.C+AerosolWashout.C+GasWashout.C+GASABS.aC.sC)/HEIGHT.aC)*AREAFRAC.s3C</f>
        <v>3.1461851004935518E-8</v>
      </c>
      <c r="P498" s="451">
        <f>((DRYDEPaerosol.C+AerosolWashout.C+GasWashout.C+GASABS.aC.sC)/HEIGHT.aC)*AREAFRAC.s3C</f>
        <v>3.1461851004935518E-8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2.5223704076650727E-11</v>
      </c>
      <c r="M511" s="452">
        <f>AEROSOLdeprate.C*FRaers.aC</f>
        <v>2.5223704076650727E-11</v>
      </c>
      <c r="N511" s="452">
        <f>AEROSOLdeprate.C*FRaers.aC</f>
        <v>2.5223704076650727E-11</v>
      </c>
      <c r="O511" s="452">
        <f>AEROSOLdeprate.C*FRaers.aC</f>
        <v>2.5223704076650727E-11</v>
      </c>
      <c r="P511" s="452">
        <f>AEROSOLdeprate.C*FRaers.aC</f>
        <v>2.5223704076650727E-11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2.6564198287364644E-10</v>
      </c>
      <c r="M512" s="452">
        <f t="shared" si="11"/>
        <v>2.6564198287364644E-10</v>
      </c>
      <c r="N512" s="452">
        <f t="shared" si="11"/>
        <v>2.6564198287364644E-10</v>
      </c>
      <c r="O512" s="452">
        <f t="shared" si="11"/>
        <v>2.6564198287364644E-10</v>
      </c>
      <c r="P512" s="452">
        <f t="shared" si="11"/>
        <v>2.6564198287364644E-10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3.8416151291077661E-5</v>
      </c>
      <c r="M513" s="452">
        <f t="shared" si="12"/>
        <v>3.8416151291077661E-5</v>
      </c>
      <c r="N513" s="452">
        <f t="shared" si="12"/>
        <v>3.8416151291077661E-5</v>
      </c>
      <c r="O513" s="452">
        <f t="shared" si="12"/>
        <v>3.8416151291077661E-5</v>
      </c>
      <c r="P513" s="452">
        <f t="shared" si="12"/>
        <v>3.8416151291077661E-5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0.99999965016622616</v>
      </c>
      <c r="M650" s="452">
        <f t="shared" si="13"/>
        <v>0.99999965016622616</v>
      </c>
      <c r="N650" s="452">
        <f t="shared" si="13"/>
        <v>0.99999965016622616</v>
      </c>
      <c r="O650" s="452">
        <f t="shared" si="13"/>
        <v>0.99999965016622616</v>
      </c>
      <c r="P650" s="452">
        <f t="shared" si="13"/>
        <v>0.99999965016622616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3.498337738436548E-7</v>
      </c>
      <c r="M652" s="452">
        <f t="shared" si="14"/>
        <v>3.498337738436548E-7</v>
      </c>
      <c r="N652" s="452">
        <f t="shared" si="14"/>
        <v>3.498337738436548E-7</v>
      </c>
      <c r="O652" s="452">
        <f t="shared" si="14"/>
        <v>3.498337738436548E-7</v>
      </c>
      <c r="P652" s="452">
        <f t="shared" si="14"/>
        <v>3.498337738436548E-7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0.99999414184463997</v>
      </c>
      <c r="M657" s="452">
        <f t="shared" si="15"/>
        <v>0.99999414184463997</v>
      </c>
      <c r="N657" s="452">
        <f t="shared" si="15"/>
        <v>0.99999414184463997</v>
      </c>
      <c r="O657" s="452">
        <f t="shared" si="15"/>
        <v>0.99999414184463997</v>
      </c>
      <c r="P657" s="452">
        <f t="shared" si="15"/>
        <v>0.99999414184463997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0.99999414184463997</v>
      </c>
      <c r="M658" s="452">
        <f t="shared" si="16"/>
        <v>0.99999414184463997</v>
      </c>
      <c r="N658" s="452">
        <f t="shared" si="16"/>
        <v>0.99999414184463997</v>
      </c>
      <c r="O658" s="452">
        <f t="shared" si="16"/>
        <v>0.99999414184463997</v>
      </c>
      <c r="P658" s="452">
        <f t="shared" si="16"/>
        <v>0.99999414184463997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1.8904728842064097E-6</v>
      </c>
      <c r="M680" s="451">
        <f>((DRYDEPaerosol.M+AerosolWashout.M+GasWashout.M+GASABS.aM.wM)/HEIGHT.aC)*AREAFRAC.wM</f>
        <v>1.8904728842064097E-6</v>
      </c>
      <c r="N680" s="451">
        <f>((DRYDEPaerosol.M+AerosolWashout.M+GasWashout.M+GASABS.aM.wM)/HEIGHT.aC)*AREAFRAC.wM</f>
        <v>1.8904728842064097E-6</v>
      </c>
      <c r="O680" s="451">
        <f>((DRYDEPaerosol.M+AerosolWashout.M+GasWashout.M+GASABS.aM.wM)/HEIGHT.aC)*AREAFRAC.wM</f>
        <v>1.8904728842064097E-6</v>
      </c>
      <c r="P680" s="451">
        <f>((DRYDEPaerosol.M+AerosolWashout.M+GasWashout.M+GASABS.aM.wM)/HEIGHT.aC)*AREAFRAC.wM</f>
        <v>1.8904728842064097E-6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3.2488830647316292E-7</v>
      </c>
      <c r="M681" s="452">
        <f>((DRYDEPaerosol.M+AerosolWashout.M+GasWashout.M+GASABS.aM.sM)/HEIGHT.aC)*AREAFRAC.sM</f>
        <v>3.2488830647316292E-7</v>
      </c>
      <c r="N681" s="452">
        <f>((DRYDEPaerosol.M+AerosolWashout.M+GasWashout.M+GASABS.aM.sM)/HEIGHT.aC)*AREAFRAC.sM</f>
        <v>3.2488830647316292E-7</v>
      </c>
      <c r="O681" s="452">
        <f>((DRYDEPaerosol.M+AerosolWashout.M+GasWashout.M+GASABS.aM.sM)/HEIGHT.aC)*AREAFRAC.sM</f>
        <v>3.2488830647316292E-7</v>
      </c>
      <c r="P681" s="452">
        <f>((DRYDEPaerosol.M+AerosolWashout.M+GasWashout.M+GASABS.aM.sM)/HEIGHT.aC)*AREAFRAC.sM</f>
        <v>3.2488830647316292E-7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2.5223704076650727E-11</v>
      </c>
      <c r="M690" s="452">
        <f>AEROSOLdeprate.M*FRaers.aM</f>
        <v>2.5223704076650727E-11</v>
      </c>
      <c r="N690" s="452">
        <f>AEROSOLdeprate.M*FRaers.aM</f>
        <v>2.5223704076650727E-11</v>
      </c>
      <c r="O690" s="452">
        <f>AEROSOLdeprate.M*FRaers.aM</f>
        <v>2.5223704076650727E-11</v>
      </c>
      <c r="P690" s="452">
        <f>AEROSOLdeprate.M*FRaers.aM</f>
        <v>2.5223704076650727E-11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2.6564198287364644E-10</v>
      </c>
      <c r="M691" s="452">
        <f t="shared" si="17"/>
        <v>2.6564198287364644E-10</v>
      </c>
      <c r="N691" s="452">
        <f t="shared" si="17"/>
        <v>2.6564198287364644E-10</v>
      </c>
      <c r="O691" s="452">
        <f t="shared" si="17"/>
        <v>2.6564198287364644E-10</v>
      </c>
      <c r="P691" s="452">
        <f t="shared" si="17"/>
        <v>2.6564198287364644E-10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3.8416151291077661E-5</v>
      </c>
      <c r="M692" s="452">
        <f t="shared" si="18"/>
        <v>3.8416151291077661E-5</v>
      </c>
      <c r="N692" s="452">
        <f t="shared" si="18"/>
        <v>3.8416151291077661E-5</v>
      </c>
      <c r="O692" s="452">
        <f t="shared" si="18"/>
        <v>3.8416151291077661E-5</v>
      </c>
      <c r="P692" s="452">
        <f t="shared" si="18"/>
        <v>3.8416151291077661E-5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0.9999979524044007</v>
      </c>
      <c r="M786" s="452">
        <f t="shared" si="19"/>
        <v>0.9999979524044007</v>
      </c>
      <c r="N786" s="452">
        <f t="shared" si="19"/>
        <v>0.9999979524044007</v>
      </c>
      <c r="O786" s="452">
        <f t="shared" si="19"/>
        <v>0.9999979524044007</v>
      </c>
      <c r="P786" s="452">
        <f t="shared" si="19"/>
        <v>0.9999979524044007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2.047595599305263E-6</v>
      </c>
      <c r="M788" s="452">
        <f t="shared" si="20"/>
        <v>2.047595599305263E-6</v>
      </c>
      <c r="N788" s="452">
        <f t="shared" si="20"/>
        <v>2.047595599305263E-6</v>
      </c>
      <c r="O788" s="452">
        <f t="shared" si="20"/>
        <v>2.047595599305263E-6</v>
      </c>
      <c r="P788" s="452">
        <f t="shared" si="20"/>
        <v>2.047595599305263E-6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0.99999414184463997</v>
      </c>
      <c r="M793" s="452">
        <f t="shared" si="21"/>
        <v>0.99999414184463997</v>
      </c>
      <c r="N793" s="452">
        <f t="shared" si="21"/>
        <v>0.99999414184463997</v>
      </c>
      <c r="O793" s="452">
        <f t="shared" si="21"/>
        <v>0.99999414184463997</v>
      </c>
      <c r="P793" s="452">
        <f t="shared" si="21"/>
        <v>0.99999414184463997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0.99999414184463997</v>
      </c>
      <c r="M794" s="452">
        <f t="shared" si="22"/>
        <v>0.99999414184463997</v>
      </c>
      <c r="N794" s="452">
        <f t="shared" si="22"/>
        <v>0.99999414184463997</v>
      </c>
      <c r="O794" s="452">
        <f t="shared" si="22"/>
        <v>0.99999414184463997</v>
      </c>
      <c r="P794" s="452">
        <f t="shared" si="22"/>
        <v>0.99999414184463997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3.0214846440306566E-6</v>
      </c>
      <c r="M816" s="451">
        <f>((DRYDEPaerosol.A+AerosolWashout.A+GasWashout.A+GASABS.aA.wA)/HEIGHT.aC)*AREAFRAC.wA</f>
        <v>3.0214846440306566E-6</v>
      </c>
      <c r="N816" s="451">
        <f>((DRYDEPaerosol.A+AerosolWashout.A+GasWashout.A+GASABS.aA.wA)/HEIGHT.aC)*AREAFRAC.wA</f>
        <v>3.0214846440306566E-6</v>
      </c>
      <c r="O816" s="451">
        <f>((DRYDEPaerosol.A+AerosolWashout.A+GasWashout.A+GASABS.aA.wA)/HEIGHT.aC)*AREAFRAC.wA</f>
        <v>3.0214846440306566E-6</v>
      </c>
      <c r="P816" s="451">
        <f>((DRYDEPaerosol.A+AerosolWashout.A+GasWashout.A+GASABS.aA.wA)/HEIGHT.aC)*AREAFRAC.wA</f>
        <v>3.0214846440306566E-6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3.5023277164898921E-7</v>
      </c>
      <c r="M817" s="451">
        <f>((DRYDEPaerosol.A+AerosolWashout.A+GasWashout.A+GASABS.aA.sA)/HEIGHT.aC)*AREAFRAC.sA</f>
        <v>3.5023277164898921E-7</v>
      </c>
      <c r="N817" s="451">
        <f>((DRYDEPaerosol.A+AerosolWashout.A+GasWashout.A+GASABS.aA.sA)/HEIGHT.aC)*AREAFRAC.sA</f>
        <v>3.5023277164898921E-7</v>
      </c>
      <c r="O817" s="451">
        <f>((DRYDEPaerosol.A+AerosolWashout.A+GasWashout.A+GASABS.aA.sA)/HEIGHT.aC)*AREAFRAC.sA</f>
        <v>3.5023277164898921E-7</v>
      </c>
      <c r="P817" s="451">
        <f>((DRYDEPaerosol.A+AerosolWashout.A+GasWashout.A+GASABS.aA.sA)/HEIGHT.aC)*AREAFRAC.sA</f>
        <v>3.5023277164898921E-7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2.522370163663273E-11</v>
      </c>
      <c r="M826" s="451">
        <f>AEROSOLdeprate.A*FRaers.aA</f>
        <v>2.522370163663273E-11</v>
      </c>
      <c r="N826" s="451">
        <f>AEROSOLdeprate.A*FRaers.aA</f>
        <v>2.522370163663273E-11</v>
      </c>
      <c r="O826" s="451">
        <f>AEROSOLdeprate.A*FRaers.aA</f>
        <v>2.522370163663273E-11</v>
      </c>
      <c r="P826" s="451">
        <f>AEROSOLdeprate.A*FRaers.aA</f>
        <v>2.522370163663273E-11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2.482446514473936E-10</v>
      </c>
      <c r="M827" s="452">
        <f t="shared" si="23"/>
        <v>2.482446514473936E-10</v>
      </c>
      <c r="N827" s="452">
        <f t="shared" si="23"/>
        <v>2.482446514473936E-10</v>
      </c>
      <c r="O827" s="452">
        <f t="shared" si="23"/>
        <v>2.482446514473936E-10</v>
      </c>
      <c r="P827" s="452">
        <f t="shared" si="23"/>
        <v>2.482446514473936E-10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5.2063183683987128E-5</v>
      </c>
      <c r="M828" s="452">
        <f t="shared" si="24"/>
        <v>5.2063183683987128E-5</v>
      </c>
      <c r="N828" s="452">
        <f t="shared" si="24"/>
        <v>5.2063183683987128E-5</v>
      </c>
      <c r="O828" s="452">
        <f t="shared" si="24"/>
        <v>5.2063183683987128E-5</v>
      </c>
      <c r="P828" s="452">
        <f t="shared" si="24"/>
        <v>5.2063183683987128E-5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0.99999986079138625</v>
      </c>
      <c r="M922" s="452">
        <f t="shared" si="25"/>
        <v>0.99999986079138625</v>
      </c>
      <c r="N922" s="452">
        <f t="shared" si="25"/>
        <v>0.99999986079138625</v>
      </c>
      <c r="O922" s="452">
        <f t="shared" si="25"/>
        <v>0.99999986079138625</v>
      </c>
      <c r="P922" s="452">
        <f t="shared" si="25"/>
        <v>0.99999986079138625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1.3920861374928649E-7</v>
      </c>
      <c r="M924" s="452">
        <f t="shared" si="26"/>
        <v>1.3920861374928649E-7</v>
      </c>
      <c r="N924" s="452">
        <f t="shared" si="26"/>
        <v>1.3920861374928649E-7</v>
      </c>
      <c r="O924" s="452">
        <f t="shared" si="26"/>
        <v>1.3920861374928649E-7</v>
      </c>
      <c r="P924" s="452">
        <f t="shared" si="26"/>
        <v>1.3920861374928649E-7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0.99999414184463997</v>
      </c>
      <c r="M929" s="452">
        <f t="shared" si="27"/>
        <v>0.99999414184463997</v>
      </c>
      <c r="N929" s="452">
        <f t="shared" si="27"/>
        <v>0.99999414184463997</v>
      </c>
      <c r="O929" s="452">
        <f t="shared" si="27"/>
        <v>0.99999414184463997</v>
      </c>
      <c r="P929" s="452">
        <f t="shared" si="27"/>
        <v>0.99999414184463997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0.99999414184463997</v>
      </c>
      <c r="M930" s="452">
        <f t="shared" si="28"/>
        <v>0.99999414184463997</v>
      </c>
      <c r="N930" s="452">
        <f t="shared" si="28"/>
        <v>0.99999414184463997</v>
      </c>
      <c r="O930" s="452">
        <f t="shared" si="28"/>
        <v>0.99999414184463997</v>
      </c>
      <c r="P930" s="452">
        <f t="shared" si="28"/>
        <v>0.99999414184463997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2.0638128590892826E-6</v>
      </c>
      <c r="M952" s="451">
        <f>((DRYDEPaerosol.T+AerosolWashout.T+GasWashout.T+GASABS.aT.wT)/HEIGHT.aT)*AREAFRAC.wT</f>
        <v>2.0638128590892826E-6</v>
      </c>
      <c r="N952" s="451">
        <f>((DRYDEPaerosol.T+AerosolWashout.T+GasWashout.T+GASABS.aT.wT)/HEIGHT.aT)*AREAFRAC.wT</f>
        <v>2.0638128590892826E-6</v>
      </c>
      <c r="O952" s="451">
        <f>((DRYDEPaerosol.T+AerosolWashout.T+GasWashout.T+GASABS.aT.wT)/HEIGHT.aT)*AREAFRAC.wT</f>
        <v>2.0638128590892826E-6</v>
      </c>
      <c r="P952" s="451">
        <f>((DRYDEPaerosol.T+AerosolWashout.T+GasWashout.T+GASABS.aT.wT)/HEIGHT.aT)*AREAFRAC.wT</f>
        <v>2.0638128590892826E-6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1.8193411144994417E-7</v>
      </c>
      <c r="M953" s="451">
        <f>((DRYDEPaerosol.T+AerosolWashout.T+GasWashout.T+GASABS.aT.sT)/HEIGHT.aT)*AREAFRAC.sT</f>
        <v>1.8193411144994417E-7</v>
      </c>
      <c r="N953" s="451">
        <f>((DRYDEPaerosol.T+AerosolWashout.T+GasWashout.T+GASABS.aT.sT)/HEIGHT.aT)*AREAFRAC.sT</f>
        <v>1.8193411144994417E-7</v>
      </c>
      <c r="O953" s="451">
        <f>((DRYDEPaerosol.T+AerosolWashout.T+GasWashout.T+GASABS.aT.sT)/HEIGHT.aT)*AREAFRAC.sT</f>
        <v>1.8193411144994417E-7</v>
      </c>
      <c r="P953" s="451">
        <f>((DRYDEPaerosol.T+AerosolWashout.T+GasWashout.T+GASABS.aT.sT)/HEIGHT.aT)*AREAFRAC.sT</f>
        <v>1.8193411144994417E-7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2.5223704513034454E-11</v>
      </c>
      <c r="M962" s="451">
        <f>AEROSOLdeprate.T*FRaers.aT</f>
        <v>2.5223704513034454E-11</v>
      </c>
      <c r="N962" s="451">
        <f>AEROSOLdeprate.T*FRaers.aT</f>
        <v>2.5223704513034454E-11</v>
      </c>
      <c r="O962" s="451">
        <f>AEROSOLdeprate.T*FRaers.aT</f>
        <v>2.5223704513034454E-11</v>
      </c>
      <c r="P962" s="451">
        <f>AEROSOLdeprate.T*FRaers.aT</f>
        <v>2.5223704513034454E-11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3.5070001556369107E-10</v>
      </c>
      <c r="M963" s="452">
        <f t="shared" si="29"/>
        <v>3.5070001556369107E-10</v>
      </c>
      <c r="N963" s="452">
        <f t="shared" si="29"/>
        <v>3.5070001556369107E-10</v>
      </c>
      <c r="O963" s="452">
        <f t="shared" si="29"/>
        <v>3.5070001556369107E-10</v>
      </c>
      <c r="P963" s="452">
        <f t="shared" si="29"/>
        <v>3.5070001556369107E-10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3.568550642707393E-5</v>
      </c>
      <c r="M964" s="452">
        <f t="shared" si="30"/>
        <v>3.568550642707393E-5</v>
      </c>
      <c r="N964" s="452">
        <f t="shared" si="30"/>
        <v>3.568550642707393E-5</v>
      </c>
      <c r="O964" s="452">
        <f t="shared" si="30"/>
        <v>3.568550642707393E-5</v>
      </c>
      <c r="P964" s="452">
        <f t="shared" si="30"/>
        <v>3.568550642707393E-5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24" transitionEvaluation="1" transitionEntry="1" codeName="Sheet2"/>
  <dimension ref="A1:O219"/>
  <sheetViews>
    <sheetView tabSelected="1" topLeftCell="A124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0.99999994016224591</v>
      </c>
      <c r="L60" s="664">
        <f t="shared" ref="L60:L65" si="2">IF(ISBLANK(I60),IF(ISNUMBER(J60)=FALSE,K60,J60),I60)</f>
        <v>0.99999994016224591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3.4614049917583579E-8</v>
      </c>
      <c r="L61" s="664">
        <f t="shared" si="2"/>
        <v>3.4614049917583579E-8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2.5223704076650728E-8</v>
      </c>
      <c r="L62" s="664">
        <f t="shared" si="2"/>
        <v>2.5223704076650728E-8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5.7780002198139571E-4</v>
      </c>
      <c r="L63" s="664">
        <f t="shared" si="2"/>
        <v>5.7780002198139571E-4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1730.7025994405353</v>
      </c>
      <c r="L64" s="664">
        <f t="shared" si="2"/>
        <v>1730.7025994405353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1261.185279299031</v>
      </c>
      <c r="L65" s="664">
        <f t="shared" si="2"/>
        <v>1261.185279299031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0.99999840246142258</v>
      </c>
      <c r="L66" s="664">
        <f>IF(ISBLANK(I66),IF(ISNUMBER(J66)=FALSE,K66,J66),I66)</f>
        <v>0.99999840246142258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1.0367416473975934</v>
      </c>
      <c r="L67" s="664">
        <f>IF(ISBLANK(I67),IF(ISNUMBER(J67)=FALSE,K67,J67),I67)</f>
        <v>1.0367416473975934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1.0791703060733229</v>
      </c>
      <c r="L70" s="664">
        <f>IF(ISBLANK(I70),IF(ISNUMBER(J70)=FALSE,K70,J70),I70)</f>
        <v>1.0791703060733229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0.99998336998154524</v>
      </c>
      <c r="L72" s="664">
        <f t="shared" ref="L72:L104" si="3">IF(ISBLANK(I72),IF(ISNUMBER(J72)=FALSE,K72,J72),I72)</f>
        <v>0.99998336998154524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3"/>
        <v>1.0367416473975934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 t="shared" si="3"/>
        <v>1.0791703060733229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0.99999373716068052</v>
      </c>
      <c r="L78" s="664">
        <f t="shared" si="3"/>
        <v>0.99999373716068052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1.0367416473975934</v>
      </c>
      <c r="L79" s="664">
        <f t="shared" si="3"/>
        <v>1.0367416473975934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3"/>
        <v>1.0791703060733229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1.0591854118493984</v>
      </c>
      <c r="L84" s="664">
        <f t="shared" si="3"/>
        <v>1.0591854118493984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0.51837082369879672</v>
      </c>
      <c r="L85" s="664">
        <f t="shared" si="3"/>
        <v>0.51837082369879672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1.0591854118493984</v>
      </c>
      <c r="L87" s="664">
        <f t="shared" si="3"/>
        <v>1.0591854118493984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0.51837082369879672</v>
      </c>
      <c r="L88" s="664">
        <f t="shared" si="3"/>
        <v>0.51837082369879672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0.51113805422367431</v>
      </c>
      <c r="L90" s="664">
        <f t="shared" si="3"/>
        <v>0.51113805422367431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0.39128372138866402</v>
      </c>
      <c r="L91" s="664">
        <f t="shared" si="3"/>
        <v>0.39128372138866402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0.60849019486851674</v>
      </c>
      <c r="L92" s="664">
        <f t="shared" si="3"/>
        <v>0.60849019486851674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0.2073483294795187</v>
      </c>
      <c r="L93" s="664">
        <f t="shared" si="3"/>
        <v>0.2073483294795187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0.51113805422367431</v>
      </c>
      <c r="L95" s="664">
        <f t="shared" si="3"/>
        <v>0.51113805422367431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0.39128372138866402</v>
      </c>
      <c r="L96" s="664">
        <f t="shared" si="3"/>
        <v>0.39128372138866402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0.60849019486851674</v>
      </c>
      <c r="L97" s="664">
        <f t="shared" si="3"/>
        <v>0.60849019486851674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0.2073483294795187</v>
      </c>
      <c r="L98" s="664">
        <f t="shared" si="3"/>
        <v>0.2073483294795187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0.51113805422367431</v>
      </c>
      <c r="L100" s="664">
        <f t="shared" si="3"/>
        <v>0.51113805422367431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0.39128372138866402</v>
      </c>
      <c r="L101" s="664">
        <f t="shared" si="3"/>
        <v>0.39128372138866402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0.60849019486851674</v>
      </c>
      <c r="L102" s="664">
        <f t="shared" si="3"/>
        <v>0.60849019486851674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0.2073483294795187</v>
      </c>
      <c r="L103" s="664">
        <f t="shared" si="3"/>
        <v>0.2073483294795187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7.9128981788738238E-9</v>
      </c>
      <c r="L108" s="664">
        <f>IF(ISBLANK(I108),IF(ISNUMBER(J108)=FALSE,K108,J108),I108)</f>
        <v>7.9128981788738238E-9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8.7041879967612062E-8</v>
      </c>
      <c r="L109" s="664">
        <f t="shared" ref="L109:L137" si="4">IF(ISBLANK(I109),IF(ISNUMBER(J109)=FALSE,K109,J109),I109)</f>
        <v>8.7041879967612062E-8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1.3847658360893962E-8</v>
      </c>
      <c r="L110" s="664">
        <f t="shared" si="4"/>
        <v>1.3847658360893962E-8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1.285993652591919E-8</v>
      </c>
      <c r="L111" s="664">
        <f t="shared" si="4"/>
        <v>1.285993652591919E-8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2.8577636724264861E-8</v>
      </c>
      <c r="L112" s="664">
        <f t="shared" si="4"/>
        <v>2.8577636724264861E-8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4.7629394540441438E-9</v>
      </c>
      <c r="L113" s="664">
        <f t="shared" si="4"/>
        <v>4.7629394540441438E-9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1.8146790937378692E-8</v>
      </c>
      <c r="L114" s="664">
        <f>IF(ISBLANK(I114),IF(ISNUMBER(J114)=FALSE,K114,J114),I114)</f>
        <v>1.8146790937378692E-8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6.0488393818910984E-7</v>
      </c>
      <c r="L115" s="664">
        <f t="shared" si="4"/>
        <v>6.0488393818910984E-7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1.814670627700622E-7</v>
      </c>
      <c r="L116" s="664">
        <f t="shared" si="4"/>
        <v>1.814670627700622E-7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2.7308847439494821E-7</v>
      </c>
      <c r="L117" s="664">
        <f t="shared" si="4"/>
        <v>2.7308847439494821E-7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1.2427006650910626E-7</v>
      </c>
      <c r="L118" s="664">
        <f t="shared" si="4"/>
        <v>1.2427006650910626E-7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2.7308847439494821E-7</v>
      </c>
      <c r="L119" s="664">
        <f t="shared" si="4"/>
        <v>2.7308847439494821E-7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3.8332275809608061E-8</v>
      </c>
      <c r="L120" s="664">
        <f t="shared" si="4"/>
        <v>3.8332275809608061E-8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9.7092501733981783E-6</v>
      </c>
      <c r="L121" s="664">
        <f t="shared" si="4"/>
        <v>9.7092501733981783E-6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9.6709179574263234E-6</v>
      </c>
      <c r="L122" s="664">
        <f t="shared" si="4"/>
        <v>9.6709179574263234E-6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1.031118895206282E-5</v>
      </c>
      <c r="L123" s="664">
        <f t="shared" si="4"/>
        <v>1.031118895206282E-5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5.9837753994234299E-11</v>
      </c>
      <c r="L126" s="664">
        <f t="shared" si="4"/>
        <v>5.9837753994234299E-11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1.8662896217714686E-9</v>
      </c>
      <c r="L127" s="664">
        <f t="shared" si="4"/>
        <v>1.8662896217714686E-9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6.4026918818462788E-4</v>
      </c>
      <c r="L128" s="664">
        <f t="shared" si="4"/>
        <v>6.4026918818462788E-4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3.1406746541008156E-3</v>
      </c>
      <c r="L131" s="664">
        <f t="shared" ref="L131:L134" si="5">IF(ISBLANK(I131),IF(ISNUMBER(J131)=FALSE,K131,J131),I131)</f>
        <v>3.1406746541008156E-3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9.5054986343222052E-6</v>
      </c>
      <c r="L132" s="664">
        <f t="shared" si="5"/>
        <v>9.5054986343222052E-6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1.8146790937378693E-6</v>
      </c>
      <c r="L133" s="664">
        <f t="shared" si="5"/>
        <v>1.8146790937378693E-6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1.8146518145673294E-6</v>
      </c>
      <c r="L134" s="664">
        <f t="shared" si="5"/>
        <v>1.8146518145673294E-6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1.8146706277006219E-6</v>
      </c>
      <c r="L135" s="664">
        <f t="shared" si="4"/>
        <v>1.8146706277006219E-6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4.7206657788522203E-3</v>
      </c>
      <c r="L136" s="664">
        <f t="shared" si="4"/>
        <v>4.7206657788522203E-3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5.4218710899516866E-6</v>
      </c>
      <c r="L137" s="664">
        <f t="shared" si="4"/>
        <v>5.4218710899516866E-6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1.3654423719747411E-8</v>
      </c>
      <c r="L138" s="664">
        <f t="shared" ref="L138:L145" si="6">IF(ISBLANK(I138),IF(ISNUMBER(J138)=FALSE,K138,J138),I138)</f>
        <v>1.3654423719747411E-8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2.4854013301821255E-8</v>
      </c>
      <c r="L139" s="664">
        <f t="shared" si="6"/>
        <v>2.4854013301821255E-8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1.3654423719747411E-8</v>
      </c>
      <c r="L140" s="664">
        <f t="shared" si="6"/>
        <v>1.3654423719747411E-8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1.0843569491355745E-8</v>
      </c>
      <c r="L142" s="664">
        <f t="shared" si="6"/>
        <v>1.0843569491355745E-8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9.3285619169455224E-9</v>
      </c>
      <c r="L147" s="664">
        <f t="shared" ref="L147:L167" si="7">IF(ISBLANK(I147),IF(ISNUMBER(J147)=FALSE,K147,J147),I147)</f>
        <v>9.3285619169455224E-9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2.7685994651458337E-9</v>
      </c>
      <c r="L148" s="664">
        <f t="shared" si="7"/>
        <v>2.7685994651458337E-9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8.9164056341895164E-7</v>
      </c>
      <c r="L149" s="664">
        <f t="shared" si="7"/>
        <v>8.9164056341895164E-7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8.7313247488521244E-7</v>
      </c>
      <c r="L150" s="664">
        <f t="shared" si="7"/>
        <v>8.7313247488521244E-7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4.81192663621389E-10</v>
      </c>
      <c r="L151" s="664">
        <f t="shared" si="7"/>
        <v>4.81192663621389E-10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1.812164154942681E-10</v>
      </c>
      <c r="L153" s="664">
        <f t="shared" si="7"/>
        <v>1.812164154942681E-10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2.2595185185185189E-10</v>
      </c>
      <c r="L154" s="664">
        <f t="shared" si="7"/>
        <v>2.2595185185185189E-10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92">
        <v>6.3399999999999996E-11</v>
      </c>
      <c r="L159" s="664">
        <f t="shared" si="7"/>
        <v>6.3399999999999996E-11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2.7504493087215179E-8</v>
      </c>
      <c r="L162" s="664">
        <f t="shared" si="7"/>
        <v>2.7504493087215179E-8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2.5968022394704521E-8</v>
      </c>
      <c r="L163" s="664">
        <f t="shared" si="7"/>
        <v>2.5968022394704521E-8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2.7504778235964069E-8</v>
      </c>
      <c r="L164" s="664">
        <f t="shared" si="7"/>
        <v>2.7504778235964069E-8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2.5968022394704521E-8</v>
      </c>
      <c r="L165" s="664">
        <f t="shared" si="7"/>
        <v>2.5968022394704521E-8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2.529483327158262E-7</v>
      </c>
      <c r="L169" s="664">
        <f t="shared" ref="L169:L183" si="8">IF(ISBLANK(I169),IF(ISNUMBER(J169)=FALSE,K169,J169),I169)</f>
        <v>2.529483327158262E-7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1.1510520976620445E-7</v>
      </c>
      <c r="L170" s="664">
        <f t="shared" si="8"/>
        <v>1.1510520976620445E-7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2.529483327158262E-7</v>
      </c>
      <c r="L171" s="664">
        <f t="shared" si="8"/>
        <v>2.529483327158262E-7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2.2995302974166017E-8</v>
      </c>
      <c r="L172" s="664">
        <f t="shared" si="8"/>
        <v>2.2995302974166017E-8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1.0464109978745858E-8</v>
      </c>
      <c r="L173" s="664">
        <f t="shared" si="8"/>
        <v>1.0464109978745858E-8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2.2995302974166017E-8</v>
      </c>
      <c r="L174" s="664">
        <f t="shared" si="8"/>
        <v>2.2995302974166017E-8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1.3447081041926115E-7</v>
      </c>
      <c r="L187" s="664">
        <f t="shared" ref="L187:L211" si="9">IF(ISBLANK(I187),IF(ISNUMBER(J187)=FALSE,K187,J187),I187)</f>
        <v>1.3447081041926115E-7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2.1721047801175034E-7</v>
      </c>
      <c r="L188" s="664">
        <f>IF(ISBLANK(I188),IF(ISNUMBER(J188)=FALSE,K188,J188),I188)</f>
        <v>2.1721047801175034E-7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2.1720721279439419E-7</v>
      </c>
      <c r="L189" s="664">
        <f t="shared" si="9"/>
        <v>2.1720721279439419E-7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2.1720946465792724E-7</v>
      </c>
      <c r="L190" s="664">
        <f t="shared" si="9"/>
        <v>2.1720946465792724E-7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2.7019264428164435E-8</v>
      </c>
      <c r="L191" s="664">
        <f t="shared" si="9"/>
        <v>2.7019264428164435E-8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2.6237229505113529E-8</v>
      </c>
      <c r="L192" s="664">
        <f t="shared" si="9"/>
        <v>2.6237229505113529E-8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1.1029482560172427E-7</v>
      </c>
      <c r="L193" s="664">
        <f t="shared" si="9"/>
        <v>1.1029482560172427E-7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1.0928170020462471E-7</v>
      </c>
      <c r="L194" s="664">
        <f t="shared" si="9"/>
        <v>1.0928170020462471E-7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1.1029482560172427E-7</v>
      </c>
      <c r="L195" s="664">
        <f t="shared" si="9"/>
        <v>1.1029482560172427E-7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1.3410448453743301E-7</v>
      </c>
      <c r="L197" s="664">
        <f t="shared" si="9"/>
        <v>1.3410448453743301E-7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2.1721047801175034E-7</v>
      </c>
      <c r="L200" s="664">
        <f>IF(ISBLANK(I200),IF(ISNUMBER(J200)=FALSE,K200,J200),I200)</f>
        <v>2.1721047801175034E-7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2.1720721279439419E-7</v>
      </c>
      <c r="L201" s="664">
        <f t="shared" si="9"/>
        <v>2.1720721279439419E-7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2.1720946465792724E-7</v>
      </c>
      <c r="L202" s="664">
        <f t="shared" si="9"/>
        <v>2.1720946465792724E-7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2.4123896171780196E-8</v>
      </c>
      <c r="L207" s="664">
        <f t="shared" si="9"/>
        <v>2.4123896171780196E-8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2.4123896171780196E-8</v>
      </c>
      <c r="L208" s="664">
        <f t="shared" si="9"/>
        <v>2.4123896171780196E-8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1.0843569491355744E-7</v>
      </c>
      <c r="L209" s="664">
        <f t="shared" si="9"/>
        <v>1.0843569491355744E-7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1.0843569491355744E-7</v>
      </c>
      <c r="L210" s="664">
        <f t="shared" si="9"/>
        <v>1.0843569491355744E-7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1.0843569491355744E-7</v>
      </c>
      <c r="L211" s="664">
        <f t="shared" si="9"/>
        <v>1.0843569491355744E-7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0.99999994016224591</v>
      </c>
      <c r="L66" s="664">
        <f t="shared" ref="L66:L110" si="2">IF(ISBLANK(I66),IF(ISNUMBER(J66)=FALSE,K66,J66),I66)</f>
        <v>0.99999994016224591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3.4614049917583579E-8</v>
      </c>
      <c r="L67" s="664">
        <f t="shared" si="2"/>
        <v>3.4614049917583579E-8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2.5223704076650728E-8</v>
      </c>
      <c r="L68" s="664">
        <f t="shared" si="2"/>
        <v>2.5223704076650728E-8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5.7780002198139571E-4</v>
      </c>
      <c r="L69" s="664">
        <f t="shared" ref="L69:L71" si="3">IF(ISBLANK(I69),IF(ISNUMBER(J69)=FALSE,K69,J69),I69)</f>
        <v>5.7780002198139571E-4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1730.7025994405353</v>
      </c>
      <c r="L70" s="664">
        <f t="shared" si="3"/>
        <v>1730.7025994405353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1261.185279299031</v>
      </c>
      <c r="L71" s="664">
        <f t="shared" si="3"/>
        <v>1261.185279299031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0.99999840246142258</v>
      </c>
      <c r="L72" s="664">
        <f t="shared" si="2"/>
        <v>0.99999840246142258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2"/>
        <v>1.0367416473975934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>IF(ISBLANK(I76),IF(ISNUMBER(J76)=FALSE,K76,J76),I76)</f>
        <v>1.0791703060733229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0.99998336998154524</v>
      </c>
      <c r="L78" s="677">
        <f t="shared" si="2"/>
        <v>0.99998336998154524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1.0367416473975934</v>
      </c>
      <c r="L79" s="664">
        <f t="shared" si="2"/>
        <v>1.0367416473975934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2"/>
        <v>1.0791703060733229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0.99999373716068052</v>
      </c>
      <c r="L84" s="664">
        <f t="shared" si="2"/>
        <v>0.99999373716068052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1.0367416473975934</v>
      </c>
      <c r="L85" s="664">
        <f t="shared" si="2"/>
        <v>1.0367416473975934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1.0791703060733229</v>
      </c>
      <c r="L88" s="664">
        <f t="shared" si="2"/>
        <v>1.0791703060733229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1.0591854118493984</v>
      </c>
      <c r="L90" s="664">
        <f t="shared" si="2"/>
        <v>1.0591854118493984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0.51837082369879672</v>
      </c>
      <c r="L91" s="664">
        <f t="shared" si="2"/>
        <v>0.51837082369879672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1.0591854118493984</v>
      </c>
      <c r="L93" s="664">
        <f t="shared" si="2"/>
        <v>1.0591854118493984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0.51837082369879672</v>
      </c>
      <c r="L94" s="664">
        <f t="shared" si="2"/>
        <v>0.51837082369879672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0.51113805422367431</v>
      </c>
      <c r="L96" s="664">
        <f t="shared" si="2"/>
        <v>0.51113805422367431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0.39128372138866402</v>
      </c>
      <c r="L97" s="664">
        <f t="shared" si="2"/>
        <v>0.39128372138866402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0.60849019486851674</v>
      </c>
      <c r="L98" s="664">
        <f t="shared" si="2"/>
        <v>0.60849019486851674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0.2073483294795187</v>
      </c>
      <c r="L99" s="664">
        <f t="shared" si="2"/>
        <v>0.2073483294795187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0.51113805422367431</v>
      </c>
      <c r="L101" s="664">
        <f t="shared" si="2"/>
        <v>0.51113805422367431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0.39128372138866402</v>
      </c>
      <c r="L102" s="664">
        <f t="shared" si="2"/>
        <v>0.39128372138866402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0.60849019486851674</v>
      </c>
      <c r="L103" s="664">
        <f t="shared" si="2"/>
        <v>0.60849019486851674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0.2073483294795187</v>
      </c>
      <c r="L104" s="664">
        <f t="shared" si="2"/>
        <v>0.2073483294795187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0.51113805422367431</v>
      </c>
      <c r="L106" s="664">
        <f t="shared" si="2"/>
        <v>0.51113805422367431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0.39128372138866402</v>
      </c>
      <c r="L107" s="664">
        <f t="shared" si="2"/>
        <v>0.39128372138866402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0.60849019486851674</v>
      </c>
      <c r="L108" s="664">
        <f t="shared" si="2"/>
        <v>0.60849019486851674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0.2073483294795187</v>
      </c>
      <c r="L109" s="664">
        <f t="shared" si="2"/>
        <v>0.2073483294795187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3.8482071798259994E-9</v>
      </c>
      <c r="L114" s="664">
        <f>IF(ISBLANK(I114),IF(ISNUMBER(J114)=FALSE,K114,J114),I114)</f>
        <v>3.8482071798259994E-9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4.2330278978085983E-8</v>
      </c>
      <c r="L115" s="664">
        <f t="shared" ref="L115:L136" si="4">IF(ISBLANK(I115),IF(ISNUMBER(J115)=FALSE,K115,J115),I115)</f>
        <v>4.2330278978085983E-8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1.6397736010416613E-6</v>
      </c>
      <c r="L116" s="664">
        <f t="shared" si="4"/>
        <v>1.6397736010416613E-6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6.2604343855921001E-9</v>
      </c>
      <c r="L117" s="664">
        <f t="shared" si="4"/>
        <v>6.2604343855921001E-9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1.3912076412426888E-8</v>
      </c>
      <c r="L118" s="664">
        <f t="shared" si="4"/>
        <v>1.3912076412426888E-8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2.3186794020711477E-9</v>
      </c>
      <c r="L119" s="664">
        <f t="shared" si="4"/>
        <v>2.3186794020711477E-9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1.8146790937378692E-8</v>
      </c>
      <c r="L120" s="664">
        <f>IF(ISBLANK(I120),IF(ISNUMBER(J120)=FALSE,K120,J120),I120)</f>
        <v>1.8146790937378692E-8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6.0488393818910984E-7</v>
      </c>
      <c r="L121" s="664">
        <f t="shared" si="4"/>
        <v>6.0488393818910984E-7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9.0733531385031098E-9</v>
      </c>
      <c r="L122" s="664">
        <f t="shared" si="4"/>
        <v>9.0733531385031098E-9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2.7308847439494821E-7</v>
      </c>
      <c r="L123" s="664">
        <f t="shared" si="4"/>
        <v>2.7308847439494821E-7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1.2427006650910626E-7</v>
      </c>
      <c r="L124" s="664">
        <f t="shared" si="4"/>
        <v>1.2427006650910626E-7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2.7308847439494821E-7</v>
      </c>
      <c r="L125" s="664">
        <f t="shared" si="4"/>
        <v>2.7308847439494821E-7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3.8381818871245206E-8</v>
      </c>
      <c r="L126" s="664">
        <f t="shared" si="4"/>
        <v>3.8381818871245206E-8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3.5247237255636914E-6</v>
      </c>
      <c r="L127" s="664">
        <f t="shared" si="4"/>
        <v>3.5247237255636914E-6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3.4863419665302002E-6</v>
      </c>
      <c r="L128" s="664">
        <f t="shared" si="4"/>
        <v>3.4863419665302002E-6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4.1266129611666956E-6</v>
      </c>
      <c r="L129" s="664">
        <f t="shared" si="4"/>
        <v>4.1266129611666956E-6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5.9837753994234299E-11</v>
      </c>
      <c r="L132" s="664">
        <f t="shared" si="4"/>
        <v>5.9837753994234299E-11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1.8662896217714686E-9</v>
      </c>
      <c r="L133" s="664">
        <f t="shared" si="4"/>
        <v>1.8662896217714686E-9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6.4026918818462788E-4</v>
      </c>
      <c r="L134" s="664">
        <f t="shared" si="4"/>
        <v>6.4026918818462788E-4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3.1406746541008156E-3</v>
      </c>
      <c r="L137" s="664">
        <f t="shared" ref="L137:L151" si="5">IF(ISBLANK(I137),IF(ISNUMBER(J137)=FALSE,K137,J137),I137)</f>
        <v>3.1406746541008156E-3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9.5054986343222052E-6</v>
      </c>
      <c r="L138" s="664">
        <f t="shared" si="5"/>
        <v>9.5054986343222052E-6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1.8146790937378693E-6</v>
      </c>
      <c r="L139" s="664">
        <f t="shared" si="5"/>
        <v>1.8146790937378693E-6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1.8146518145673294E-6</v>
      </c>
      <c r="L140" s="664">
        <f t="shared" si="5"/>
        <v>1.8146518145673294E-6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1.8146706277006219E-6</v>
      </c>
      <c r="L141" s="664">
        <f t="shared" si="5"/>
        <v>1.8146706277006219E-6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4.7206657788522203E-3</v>
      </c>
      <c r="L142" s="664">
        <f t="shared" si="5"/>
        <v>4.7206657788522203E-3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5.4218710899516866E-6</v>
      </c>
      <c r="L143" s="664">
        <f t="shared" si="5"/>
        <v>5.4218710899516866E-6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1.3654423719747411E-8</v>
      </c>
      <c r="L144" s="664">
        <f t="shared" si="5"/>
        <v>1.3654423719747411E-8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2.4854013301821255E-8</v>
      </c>
      <c r="L145" s="664">
        <f t="shared" si="5"/>
        <v>2.4854013301821255E-8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1.3654423719747411E-8</v>
      </c>
      <c r="L146" s="664">
        <f t="shared" si="5"/>
        <v>1.3654423719747411E-8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1.0843569491355745E-8</v>
      </c>
      <c r="L148" s="664">
        <f t="shared" si="5"/>
        <v>1.0843569491355745E-8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9.3285619169455224E-9</v>
      </c>
      <c r="L153" s="664">
        <f t="shared" ref="L153:L173" si="6">IF(ISBLANK(I153),IF(ISNUMBER(J153)=FALSE,K153,J153),I153)</f>
        <v>9.3285619169455224E-9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1.3842997325729167E-10</v>
      </c>
      <c r="L154" s="664">
        <f t="shared" si="6"/>
        <v>1.3842997325729167E-10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8.9166170328018226E-7</v>
      </c>
      <c r="L155" s="664">
        <f t="shared" si="6"/>
        <v>8.9166170328018226E-7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8.7433247488521242E-7</v>
      </c>
      <c r="L156" s="664">
        <f t="shared" si="6"/>
        <v>8.7433247488521242E-7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4.81192663621389E-10</v>
      </c>
      <c r="L157" s="664">
        <f t="shared" si="6"/>
        <v>4.81192663621389E-10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1.812164154942681E-10</v>
      </c>
      <c r="L159" s="664">
        <f t="shared" si="6"/>
        <v>1.812164154942681E-10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2.7504493087215175E-8</v>
      </c>
      <c r="L168" s="664">
        <f t="shared" si="6"/>
        <v>2.7504493087215175E-8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2.5968022394704517E-8</v>
      </c>
      <c r="L169" s="664">
        <f t="shared" si="6"/>
        <v>2.5968022394704517E-8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2.7504778235964065E-8</v>
      </c>
      <c r="L170" s="664">
        <f t="shared" si="6"/>
        <v>2.7504778235964065E-8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2.5968022394704517E-8</v>
      </c>
      <c r="L171" s="664">
        <f t="shared" si="6"/>
        <v>2.5968022394704517E-8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2.529483327158262E-7</v>
      </c>
      <c r="L175" s="664">
        <f t="shared" ref="L175:L177" si="7">IF(ISBLANK(I175),IF(ISNUMBER(J175)=FALSE,K175,J175),I175)</f>
        <v>2.529483327158262E-7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1.1510520976620445E-7</v>
      </c>
      <c r="L176" s="664">
        <f t="shared" si="7"/>
        <v>1.1510520976620445E-7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2.529483327158262E-7</v>
      </c>
      <c r="L177" s="664">
        <f t="shared" si="7"/>
        <v>2.529483327158262E-7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2.299530297416602E-8</v>
      </c>
      <c r="L178" s="664">
        <f t="shared" ref="L178:L180" si="8">IF(ISBLANK(I178),IF(ISNUMBER(J178)=FALSE,K178,J178),I178)</f>
        <v>2.299530297416602E-8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1.0464109978745859E-8</v>
      </c>
      <c r="L179" s="664">
        <f t="shared" si="8"/>
        <v>1.0464109978745859E-8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2.299530297416602E-8</v>
      </c>
      <c r="L180" s="664">
        <f t="shared" si="8"/>
        <v>2.299530297416602E-8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1.3447081041926115E-7</v>
      </c>
      <c r="L193" s="664">
        <f t="shared" ref="L193:L217" si="11">IF(ISBLANK(I193),IF(ISNUMBER(J193)=FALSE,K193,J193),I193)</f>
        <v>1.3447081041926115E-7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2.1721047801175034E-7</v>
      </c>
      <c r="L194" s="664">
        <f>IF(ISBLANK(I194),IF(ISNUMBER(J194)=FALSE,K194,J194),I194)</f>
        <v>2.1721047801175034E-7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2.1720721279439419E-7</v>
      </c>
      <c r="L195" s="664">
        <f t="shared" si="11"/>
        <v>2.1720721279439419E-7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2.1720946465792724E-7</v>
      </c>
      <c r="L196" s="664">
        <f t="shared" si="11"/>
        <v>2.1720946465792724E-7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2.6998124566933754E-8</v>
      </c>
      <c r="L197" s="664">
        <f t="shared" si="11"/>
        <v>2.6998124566933754E-8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2.5037229505113528E-8</v>
      </c>
      <c r="L198" s="664">
        <f t="shared" si="11"/>
        <v>2.5037229505113528E-8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1.1029482560172427E-7</v>
      </c>
      <c r="L199" s="664">
        <f t="shared" si="11"/>
        <v>1.1029482560172427E-7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1.0928170020462471E-7</v>
      </c>
      <c r="L200" s="664">
        <f t="shared" si="11"/>
        <v>1.0928170020462471E-7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1.1029482560172427E-7</v>
      </c>
      <c r="L201" s="664">
        <f t="shared" si="11"/>
        <v>1.1029482560172427E-7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1.3410448453743301E-7</v>
      </c>
      <c r="L203" s="664">
        <f t="shared" si="11"/>
        <v>1.3410448453743301E-7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2.1721047801175034E-7</v>
      </c>
      <c r="L206" s="664">
        <f>IF(ISBLANK(I206),IF(ISNUMBER(J206)=FALSE,K206,J206),I206)</f>
        <v>2.1721047801175034E-7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2.1720721279439419E-7</v>
      </c>
      <c r="L207" s="664">
        <f t="shared" si="11"/>
        <v>2.1720721279439419E-7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2.1720946465792724E-7</v>
      </c>
      <c r="L208" s="664">
        <f t="shared" si="11"/>
        <v>2.1720946465792724E-7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2.4123896171780196E-8</v>
      </c>
      <c r="L213" s="664">
        <f t="shared" si="11"/>
        <v>2.4123896171780196E-8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2.4123896171780196E-8</v>
      </c>
      <c r="L214" s="664">
        <f t="shared" si="11"/>
        <v>2.4123896171780196E-8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1.0843569491355744E-7</v>
      </c>
      <c r="L215" s="664">
        <f t="shared" si="11"/>
        <v>1.0843569491355744E-7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1.0843569491355744E-7</v>
      </c>
      <c r="L216" s="664">
        <f t="shared" si="11"/>
        <v>1.0843569491355744E-7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1.0843569491355744E-7</v>
      </c>
      <c r="L217" s="664">
        <f t="shared" si="11"/>
        <v>1.0843569491355744E-7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0.99999994016224591</v>
      </c>
      <c r="L46" s="664">
        <f>IF(ISBLANK(I46),IF(ISNUMBER(J46)=FALSE,K46,J46),I46)</f>
        <v>0.99999994016224591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3.4614049917583579E-8</v>
      </c>
      <c r="L47" s="664">
        <f>IF(ISBLANK(I47),IF(ISNUMBER(J47)=FALSE,K47,J47),I47)</f>
        <v>3.4614049917583579E-8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2.5223704076650728E-8</v>
      </c>
      <c r="L48" s="664">
        <f>IF(ISBLANK(I48),IF(ISNUMBER(J48)=FALSE,K48,J48),I48)</f>
        <v>2.5223704076650728E-8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5.7780002198139571E-4</v>
      </c>
      <c r="L49" s="664">
        <f>IF(ISBLANK(I49),IF(ISNUMBER(J49)=FALSE,K49,J49),I49)</f>
        <v>5.7780002198139571E-4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1730.7025994405353</v>
      </c>
      <c r="L51" s="664">
        <f t="shared" ref="L51:L58" si="2">IF(ISBLANK(I51),IF(ISNUMBER(J51)=FALSE,K51,J51),I51)</f>
        <v>1730.7025994405353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1261.185279299031</v>
      </c>
      <c r="L52" s="664">
        <f t="shared" si="2"/>
        <v>1261.185279299031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0.99999373716068052</v>
      </c>
      <c r="L53" s="664">
        <f t="shared" si="2"/>
        <v>0.99999373716068052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0.99999373716068052</v>
      </c>
      <c r="L54" s="664">
        <f t="shared" si="2"/>
        <v>0.99999373716068052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1.0367416473975934</v>
      </c>
      <c r="L55" s="664">
        <f t="shared" si="2"/>
        <v>1.0367416473975934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1.0367416473975934</v>
      </c>
      <c r="L56" s="664">
        <f t="shared" si="2"/>
        <v>1.0367416473975934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1.0791703060733229</v>
      </c>
      <c r="L61" s="664">
        <f>IF(ISBLANK(I61),IF(ISNUMBER(J61)=FALSE,K61,J61),I61)</f>
        <v>1.0791703060733229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1.0791703060733229</v>
      </c>
      <c r="L62" s="664">
        <f>IF(ISBLANK(I62),IF(ISNUMBER(J62)=FALSE,K62,J62),I62)</f>
        <v>1.0791703060733229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1.0591854118493984</v>
      </c>
      <c r="L65" s="664">
        <f t="shared" ref="L65:L72" si="3">IF(ISBLANK(I65),IF(ISNUMBER(J65)=FALSE,K65,J65),I65)</f>
        <v>1.0591854118493984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0.51837082369879672</v>
      </c>
      <c r="L66" s="664">
        <f t="shared" si="3"/>
        <v>0.51837082369879672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0.51113805422367431</v>
      </c>
      <c r="L68" s="664">
        <f t="shared" si="3"/>
        <v>0.51113805422367431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0.39128372138866402</v>
      </c>
      <c r="L69" s="664">
        <f t="shared" si="3"/>
        <v>0.39128372138866402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0.60849019486851674</v>
      </c>
      <c r="L70" s="664">
        <f t="shared" si="3"/>
        <v>0.60849019486851674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0.2073483294795187</v>
      </c>
      <c r="L71" s="664">
        <f t="shared" si="3"/>
        <v>0.2073483294795187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1.5895311400538746E-6</v>
      </c>
      <c r="L76" s="664">
        <f t="shared" ref="L76:L89" si="4">IF(ISBLANK(I76),IF(ISNUMBER(J76)=FALSE,K76,J76),I76)</f>
        <v>1.5895311400538746E-6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2.3946562320627867E-8</v>
      </c>
      <c r="L77" s="664">
        <f t="shared" si="4"/>
        <v>2.3946562320627867E-8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1.814670627700622E-8</v>
      </c>
      <c r="L78" s="664">
        <f t="shared" si="4"/>
        <v>1.814670627700622E-8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2.7308847439494821E-7</v>
      </c>
      <c r="L79" s="664">
        <f t="shared" si="4"/>
        <v>2.7308847439494821E-7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3.8387626006933526E-8</v>
      </c>
      <c r="L80" s="664">
        <f t="shared" si="4"/>
        <v>3.8387626006933526E-8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2.9121529797038607E-6</v>
      </c>
      <c r="L81" s="664">
        <f t="shared" si="4"/>
        <v>2.9121529797038607E-6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2.8737654135346812E-6</v>
      </c>
      <c r="L82" s="664">
        <f t="shared" si="4"/>
        <v>2.8737654135346812E-6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3.514036408171177E-6</v>
      </c>
      <c r="L83" s="664">
        <f t="shared" si="4"/>
        <v>3.514036408171177E-6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5.9837753994234299E-11</v>
      </c>
      <c r="L86" s="664">
        <f t="shared" si="4"/>
        <v>5.9837753994234299E-11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1.8662896217714686E-9</v>
      </c>
      <c r="L87" s="664">
        <f t="shared" si="4"/>
        <v>1.8662896217714686E-9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6.4026918818462788E-4</v>
      </c>
      <c r="L88" s="664">
        <f t="shared" si="4"/>
        <v>6.4026918818462788E-4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3.1406746541008156E-3</v>
      </c>
      <c r="L92" s="664">
        <f t="shared" si="5"/>
        <v>3.1406746541008156E-3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9.5054986343222052E-6</v>
      </c>
      <c r="L93" s="664">
        <f>IF(ISBLANK(I93),IF(ISNUMBER(J93)=FALSE,K93,J93),I93)</f>
        <v>9.5054986343222052E-6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1.8146706277006219E-6</v>
      </c>
      <c r="L94" s="664">
        <f>IF(ISBLANK(I94),IF(ISNUMBER(J94)=FALSE,K94,J94),I94)</f>
        <v>1.8146706277006219E-6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1.3654423719747411E-8</v>
      </c>
      <c r="L95" s="664">
        <f>IF(ISBLANK(I95),IF(ISNUMBER(J95)=FALSE,K95,J95),I95)</f>
        <v>1.3654423719747411E-8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4.7206657788522203E-3</v>
      </c>
      <c r="L96" s="664">
        <f t="shared" si="5"/>
        <v>4.7206657788522203E-3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5.4218710899516866E-6</v>
      </c>
      <c r="L97" s="664">
        <f t="shared" si="5"/>
        <v>5.4218710899516866E-6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1.0843569491355745E-8</v>
      </c>
      <c r="L100" s="664">
        <f>IF(ISBLANK(I100),IF(ISNUMBER(J100)=FALSE,K100,J100),I100)</f>
        <v>1.0843569491355745E-8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9.2286648838194441E-12</v>
      </c>
      <c r="L103" s="664">
        <f t="shared" ref="L103:L109" si="6">IF(ISBLANK(I103),IF(ISNUMBER(J103)=FALSE,K103,J103),I103)</f>
        <v>9.2286648838194441E-12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8.7524282428423103E-7</v>
      </c>
      <c r="L104" s="664">
        <f t="shared" si="6"/>
        <v>8.7524282428423103E-7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1.812164154942681E-10</v>
      </c>
      <c r="L105" s="664">
        <f t="shared" si="6"/>
        <v>1.812164154942681E-10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2.7504778235964065E-8</v>
      </c>
      <c r="L111" s="664">
        <f>IF(ISBLANK(I111),IF(ISNUMBER(J111)=FALSE,K111,J111),I111)</f>
        <v>2.7504778235964065E-8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2.5968022394704517E-8</v>
      </c>
      <c r="L112" s="664">
        <f>IF(ISBLANK(I112),IF(ISNUMBER(J112)=FALSE,K112,J112),I112)</f>
        <v>2.5968022394704517E-8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2.7594363568999222E-7</v>
      </c>
      <c r="L116" s="664">
        <f>IF(ISBLANK(I116),IF(ISNUMBER(J116)=FALSE,K116,J116),I116)</f>
        <v>2.7594363568999222E-7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1.3447081041926115E-7</v>
      </c>
      <c r="L123" s="664">
        <f t="shared" ref="L123:L138" si="7">IF(ISBLANK(I123),IF(ISNUMBER(J123)=FALSE,K123,J123),I123)</f>
        <v>1.3447081041926115E-7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2.1720946465792724E-7</v>
      </c>
      <c r="L124" s="664">
        <f t="shared" si="7"/>
        <v>2.1720946465792724E-7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2.1720946465792724E-7</v>
      </c>
      <c r="L125" s="664">
        <f t="shared" si="7"/>
        <v>2.1720946465792724E-7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2.412688010609485E-8</v>
      </c>
      <c r="L126" s="664">
        <f t="shared" si="7"/>
        <v>2.412688010609485E-8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1.1029482560172427E-7</v>
      </c>
      <c r="L127" s="664">
        <f t="shared" si="7"/>
        <v>1.1029482560172427E-7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1.3410448453743301E-7</v>
      </c>
      <c r="L129" s="664">
        <f t="shared" si="7"/>
        <v>1.3410448453743301E-7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2.1720946465792724E-7</v>
      </c>
      <c r="L132" s="664">
        <f t="shared" si="7"/>
        <v>2.1720946465792724E-7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2.1720946465792724E-7</v>
      </c>
      <c r="L133" s="664">
        <f t="shared" si="7"/>
        <v>2.1720946465792724E-7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2.4123896171780196E-8</v>
      </c>
      <c r="L137" s="664">
        <f t="shared" si="7"/>
        <v>2.4123896171780196E-8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1.0843569491355744E-7</v>
      </c>
      <c r="L138" s="664">
        <f t="shared" si="7"/>
        <v>1.0843569491355744E-7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0.99999984342713344</v>
      </c>
      <c r="L182" s="664">
        <f>IF(ISBLANK(I182),IF(ISNUMBER(J182)=FALSE,K182,J182),I182)</f>
        <v>0.99999984342713344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1.3134916485265744E-7</v>
      </c>
      <c r="L183" s="664">
        <f>IF(ISBLANK(I183),IF(ISNUMBER(J183)=FALSE,K183,J183),I183)</f>
        <v>1.3134916485265744E-7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2.5223701636632728E-8</v>
      </c>
      <c r="L184" s="664">
        <f>IF(ISBLANK(I184),IF(ISNUMBER(J184)=FALSE,K184,J184),I184)</f>
        <v>2.5223701636632728E-8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1.5226588529114679E-4</v>
      </c>
      <c r="L185" s="664">
        <f>IF(ISBLANK(I185),IF(ISNUMBER(J185)=FALSE,K185,J185),I185)</f>
        <v>1.5226588529114679E-4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6567.4592709187964</v>
      </c>
      <c r="L187" s="664">
        <f t="shared" ref="L187:L194" si="10">IF(ISBLANK(I187),IF(ISNUMBER(J187)=FALSE,K187,J187),I187)</f>
        <v>6567.4592709187964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1261.185279299031</v>
      </c>
      <c r="L188" s="664">
        <f t="shared" si="10"/>
        <v>1261.185279299031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0.99999373716068052</v>
      </c>
      <c r="L189" s="664">
        <f t="shared" si="10"/>
        <v>0.99999373716068052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0.99999373716068052</v>
      </c>
      <c r="L190" s="664">
        <f t="shared" si="10"/>
        <v>0.99999373716068052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1.0367416473975934</v>
      </c>
      <c r="L191" s="664">
        <f t="shared" si="10"/>
        <v>1.0367416473975934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1.0367416473975934</v>
      </c>
      <c r="L192" s="664">
        <f t="shared" si="10"/>
        <v>1.0367416473975934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1.0791703060733229</v>
      </c>
      <c r="L197" s="664">
        <f>IF(ISBLANK(I197),IF(ISNUMBER(J197)=FALSE,K197,J197),I197)</f>
        <v>1.0791703060733229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1.0791703060733229</v>
      </c>
      <c r="L198" s="664">
        <f>IF(ISBLANK(I198),IF(ISNUMBER(J198)=FALSE,K198,J198),I198)</f>
        <v>1.0791703060733229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1.0591854118493984</v>
      </c>
      <c r="L201" s="664">
        <f t="shared" ref="L201:L208" si="11">IF(ISBLANK(I201),IF(ISNUMBER(J201)=FALSE,K201,J201),I201)</f>
        <v>1.0591854118493984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0.51837082369879672</v>
      </c>
      <c r="L202" s="664">
        <f t="shared" si="11"/>
        <v>0.51837082369879672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0.51105294739633633</v>
      </c>
      <c r="L204" s="664">
        <f t="shared" si="11"/>
        <v>0.51105294739633633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0.39134888277025087</v>
      </c>
      <c r="L205" s="664">
        <f t="shared" si="11"/>
        <v>0.39134888277025087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0.60859152814565642</v>
      </c>
      <c r="L206" s="664">
        <f t="shared" si="11"/>
        <v>0.60859152814565642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0.2073483294795187</v>
      </c>
      <c r="L207" s="664">
        <f t="shared" si="11"/>
        <v>0.2073483294795187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2.5320540231950468E-6</v>
      </c>
      <c r="L212" s="664">
        <f t="shared" ref="L212:L225" si="12">IF(ISBLANK(I212),IF(ISNUMBER(J212)=FALSE,K212,J212),I212)</f>
        <v>2.5320540231950468E-6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2.3945691091915809E-8</v>
      </c>
      <c r="L213" s="664">
        <f t="shared" si="12"/>
        <v>2.3945691091915809E-8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6.3465361039715372E-9</v>
      </c>
      <c r="L214" s="664">
        <f t="shared" si="12"/>
        <v>6.3465361039715372E-9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5.9528448242514022E-8</v>
      </c>
      <c r="L215" s="664">
        <f t="shared" si="12"/>
        <v>5.9528448242514022E-8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5.2002849778578445E-8</v>
      </c>
      <c r="L216" s="664">
        <f t="shared" si="12"/>
        <v>5.2002849778578445E-8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3.3604912018885748E-6</v>
      </c>
      <c r="L217" s="664">
        <f t="shared" si="12"/>
        <v>3.3604912018885748E-6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3.3084885086828627E-6</v>
      </c>
      <c r="L218" s="664">
        <f t="shared" si="12"/>
        <v>3.3084885086828627E-6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4.1762087467083915E-6</v>
      </c>
      <c r="L219" s="664">
        <f t="shared" si="12"/>
        <v>4.1762087467083915E-6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1.5657286648929017E-10</v>
      </c>
      <c r="L222" s="664">
        <f t="shared" si="12"/>
        <v>1.5657286648929017E-10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6.6653194329847185E-10</v>
      </c>
      <c r="L223" s="664">
        <f t="shared" si="12"/>
        <v>6.6653194329847185E-10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8.6771972806645205E-4</v>
      </c>
      <c r="L224" s="664">
        <f t="shared" si="12"/>
        <v>8.6771972806645205E-4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4.1680871888798328E-3</v>
      </c>
      <c r="L228" s="664">
        <f t="shared" si="13"/>
        <v>4.1680871888798328E-3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7.8613779512110704E-6</v>
      </c>
      <c r="L229" s="664">
        <f>IF(ISBLANK(I229),IF(ISNUMBER(J229)=FALSE,K229,J229),I229)</f>
        <v>7.8613779512110704E-6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6.3465361039715374E-7</v>
      </c>
      <c r="L230" s="664">
        <f t="shared" si="13"/>
        <v>6.3465361039715374E-7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2.9764224121257013E-9</v>
      </c>
      <c r="L231" s="664">
        <f>IF(ISBLANK(I231),IF(ISNUMBER(J231)=FALSE,K231,J231),I231)</f>
        <v>2.9764224121257013E-9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4.7206657788522203E-3</v>
      </c>
      <c r="L232" s="664">
        <f t="shared" si="13"/>
        <v>4.7206657788522203E-3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5.4218710899516866E-6</v>
      </c>
      <c r="L233" s="664">
        <f t="shared" si="13"/>
        <v>5.4218710899516866E-6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2.3599688822101026E-9</v>
      </c>
      <c r="L236" s="664">
        <f>IF(ISBLANK(I236),IF(ISNUMBER(J236)=FALSE,K236,J236),I236)</f>
        <v>2.3599688822101026E-9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9.2286648838194441E-12</v>
      </c>
      <c r="L239" s="664">
        <f t="shared" ref="L239:L245" si="14">IF(ISBLANK(I239),IF(ISNUMBER(J239)=FALSE,K239,J239),I239)</f>
        <v>9.2286648838194441E-12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8.7524369423241345E-7</v>
      </c>
      <c r="L240" s="664">
        <f t="shared" si="14"/>
        <v>8.7524369423241345E-7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1.812164154942681E-10</v>
      </c>
      <c r="L241" s="664">
        <f t="shared" si="14"/>
        <v>1.812164154942681E-10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2.7504778235964065E-8</v>
      </c>
      <c r="L247" s="664">
        <f>IF(ISBLANK(I247),IF(ISNUMBER(J247)=FALSE,K247,J247),I247)</f>
        <v>2.7504778235964065E-8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2.5968022394704517E-8</v>
      </c>
      <c r="L248" s="664">
        <f>IF(ISBLANK(I248),IF(ISNUMBER(J248)=FALSE,K248,J248),I248)</f>
        <v>2.5968022394704517E-8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9.8583251403148694E-8</v>
      </c>
      <c r="L252" s="664">
        <f>IF(ISBLANK(I252),IF(ISNUMBER(J252)=FALSE,K252,J252),I252)</f>
        <v>9.8583251403148694E-8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1.1251596123782846E-7</v>
      </c>
      <c r="L259" s="664">
        <f t="shared" ref="L259:L274" si="15">IF(ISBLANK(I259),IF(ISNUMBER(J259)=FALSE,K259,J259),I259)</f>
        <v>1.1251596123782846E-7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4.727295545280204E-8</v>
      </c>
      <c r="L260" s="664">
        <f t="shared" si="15"/>
        <v>4.727295545280204E-8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4.727295545280204E-8</v>
      </c>
      <c r="L261" s="664">
        <f t="shared" si="15"/>
        <v>4.727295545280204E-8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5.2523818364423664E-9</v>
      </c>
      <c r="L262" s="664">
        <f t="shared" si="15"/>
        <v>5.2523818364423664E-9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2.4263774641205674E-8</v>
      </c>
      <c r="L263" s="664">
        <f t="shared" si="15"/>
        <v>2.4263774641205674E-8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1.1214963535600032E-7</v>
      </c>
      <c r="L265" s="664">
        <f t="shared" si="15"/>
        <v>1.1214963535600032E-7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4.727295545280204E-8</v>
      </c>
      <c r="L268" s="664">
        <f t="shared" si="15"/>
        <v>4.727295545280204E-8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4.727295545280204E-8</v>
      </c>
      <c r="L269" s="664">
        <f t="shared" si="15"/>
        <v>4.727295545280204E-8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5.2502678503101158E-9</v>
      </c>
      <c r="L273" s="664">
        <f t="shared" si="15"/>
        <v>5.2502678503101158E-9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2.3599688822101025E-8</v>
      </c>
      <c r="L274" s="664">
        <f t="shared" si="15"/>
        <v>2.3599688822101025E-8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0.9999999574627858</v>
      </c>
      <c r="L318" s="664">
        <f>IF(ISBLANK(I318),IF(ISNUMBER(J318)=FALSE,K318,J318),I318)</f>
        <v>0.9999999574627858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1.7313509702833897E-8</v>
      </c>
      <c r="L319" s="664">
        <f>IF(ISBLANK(I319),IF(ISNUMBER(J319)=FALSE,K319,J319),I319)</f>
        <v>1.7313509702833897E-8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2.5223704513034452E-8</v>
      </c>
      <c r="L320" s="664">
        <f>IF(ISBLANK(I320),IF(ISNUMBER(J320)=FALSE,K320,J320),I320)</f>
        <v>2.5223704513034452E-8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1.1551672360215958E-3</v>
      </c>
      <c r="L321" s="664">
        <f>IF(ISBLANK(I321),IF(ISNUMBER(J321)=FALSE,K321,J321),I321)</f>
        <v>1.1551672360215958E-3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865.67552196512008</v>
      </c>
      <c r="L323" s="664">
        <f t="shared" ref="L323:L330" si="18">IF(ISBLANK(I323),IF(ISNUMBER(J323)=FALSE,K323,J323),I323)</f>
        <v>865.67552196512008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1261.185279299031</v>
      </c>
      <c r="L324" s="664">
        <f t="shared" si="18"/>
        <v>1261.185279299031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0.99999373716068052</v>
      </c>
      <c r="L325" s="664">
        <f t="shared" si="18"/>
        <v>0.99999373716068052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0.99999373716068052</v>
      </c>
      <c r="L326" s="664">
        <f t="shared" si="18"/>
        <v>0.99999373716068052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1.0367416473975934</v>
      </c>
      <c r="L327" s="664">
        <f t="shared" si="18"/>
        <v>1.0367416473975934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1.0367416473975934</v>
      </c>
      <c r="L328" s="664">
        <f t="shared" si="18"/>
        <v>1.0367416473975934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1.0791703060733229</v>
      </c>
      <c r="L333" s="664">
        <f>IF(ISBLANK(I333),IF(ISNUMBER(J333)=FALSE,K333,J333),I333)</f>
        <v>1.0791703060733229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1.0791703060733229</v>
      </c>
      <c r="L334" s="664">
        <f>IF(ISBLANK(I334),IF(ISNUMBER(J334)=FALSE,K334,J334),I334)</f>
        <v>1.0791703060733229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1.0591854118493984</v>
      </c>
      <c r="L337" s="664">
        <f t="shared" ref="L337:L344" si="19">IF(ISBLANK(I337),IF(ISNUMBER(J337)=FALSE,K337,J337),I337)</f>
        <v>1.0591854118493984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0.51837082369879672</v>
      </c>
      <c r="L338" s="664">
        <f t="shared" si="19"/>
        <v>0.51837082369879672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0.51125352766648247</v>
      </c>
      <c r="L340" s="664">
        <f t="shared" si="19"/>
        <v>0.51125352766648247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0.39119534473016004</v>
      </c>
      <c r="L341" s="664">
        <f t="shared" si="19"/>
        <v>0.39119534473016004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0.60835275922472343</v>
      </c>
      <c r="L342" s="664">
        <f t="shared" si="19"/>
        <v>0.60835275922472343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0.2073483294795187</v>
      </c>
      <c r="L343" s="664">
        <f t="shared" si="19"/>
        <v>0.2073483294795187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1.6724461398021193E-6</v>
      </c>
      <c r="L348" s="664">
        <f t="shared" ref="L348:L361" si="20">IF(ISBLANK(I348),IF(ISNUMBER(J348)=FALSE,K348,J348),I348)</f>
        <v>1.6724461398021193E-6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1.4205517469731309E-8</v>
      </c>
      <c r="L349" s="664">
        <f t="shared" si="20"/>
        <v>1.4205517469731309E-8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2.7187178521254531E-8</v>
      </c>
      <c r="L350" s="664">
        <f t="shared" si="20"/>
        <v>2.7187178521254531E-8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6.7101109101460826E-7</v>
      </c>
      <c r="L351" s="664">
        <f t="shared" si="20"/>
        <v>6.7101109101460826E-7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3.5666635687570654E-8</v>
      </c>
      <c r="L352" s="664">
        <f t="shared" si="20"/>
        <v>3.5666635687570654E-8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2.2354229056970334E-6</v>
      </c>
      <c r="L353" s="664">
        <f t="shared" si="20"/>
        <v>2.2354229056970334E-6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2.1997563125466768E-6</v>
      </c>
      <c r="L354" s="664">
        <f t="shared" si="20"/>
        <v>2.1997563125466768E-6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2.7945181764271951E-6</v>
      </c>
      <c r="L355" s="664">
        <f t="shared" si="20"/>
        <v>2.7945181764271951E-6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4.2537214215868346E-11</v>
      </c>
      <c r="L358" s="664">
        <f t="shared" si="20"/>
        <v>4.2537214215868346E-11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3.4659665003958211E-9</v>
      </c>
      <c r="L359" s="664">
        <f t="shared" si="20"/>
        <v>3.4659665003958211E-9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5.9475844045123215E-4</v>
      </c>
      <c r="L360" s="664">
        <f t="shared" si="20"/>
        <v>5.9475844045123215E-4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2.3535421354583144E-3</v>
      </c>
      <c r="L364" s="664">
        <f t="shared" si="21"/>
        <v>2.3535421354583144E-3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1.1685089211533699E-5</v>
      </c>
      <c r="L365" s="664">
        <f>IF(ISBLANK(I365),IF(ISNUMBER(J365)=FALSE,K365,J365),I365)</f>
        <v>1.1685089211533699E-5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2.7187178521254531E-6</v>
      </c>
      <c r="L366" s="664">
        <f t="shared" si="21"/>
        <v>2.7187178521254531E-6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3.3550554550730417E-8</v>
      </c>
      <c r="L367" s="664">
        <f>IF(ISBLANK(I367),IF(ISNUMBER(J367)=FALSE,K367,J367),I367)</f>
        <v>3.3550554550730417E-8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4.7206657788522203E-3</v>
      </c>
      <c r="L368" s="664">
        <f t="shared" si="21"/>
        <v>4.7206657788522203E-3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5.4218710899516866E-6</v>
      </c>
      <c r="L369" s="664">
        <f t="shared" si="21"/>
        <v>5.4218710899516866E-6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2.6700000000000001E-8</v>
      </c>
      <c r="L372" s="664">
        <f>IF(ISBLANK(I372),IF(ISNUMBER(J372)=FALSE,K372,J372),I372)</f>
        <v>2.6700000000000001E-8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9.2286648838194441E-12</v>
      </c>
      <c r="L375" s="664">
        <f t="shared" ref="L375:L381" si="22">IF(ISBLANK(I375),IF(ISNUMBER(J375)=FALSE,K375,J375),I375)</f>
        <v>9.2286648838194441E-12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8.7524369423241345E-7</v>
      </c>
      <c r="L376" s="664">
        <f t="shared" si="22"/>
        <v>8.7524369423241345E-7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1.812164154942681E-10</v>
      </c>
      <c r="L377" s="664">
        <f t="shared" si="22"/>
        <v>1.812164154942681E-10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2.7504778235964065E-8</v>
      </c>
      <c r="L383" s="664">
        <f>IF(ISBLANK(I383),IF(ISNUMBER(J383)=FALSE,K383,J383),I383)</f>
        <v>2.7504778235964065E-8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2.5968022394704517E-8</v>
      </c>
      <c r="L384" s="664">
        <f>IF(ISBLANK(I384),IF(ISNUMBER(J384)=FALSE,K384,J384),I384)</f>
        <v>2.5968022394704517E-8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5.1233029146448442E-7</v>
      </c>
      <c r="L388" s="664">
        <f>IF(ISBLANK(I388),IF(ISNUMBER(J388)=FALSE,K388,J388),I388)</f>
        <v>5.1233029146448442E-7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1.4941381954176272E-7</v>
      </c>
      <c r="L395" s="664">
        <f t="shared" ref="L395:L410" si="23">IF(ISBLANK(I395),IF(ISNUMBER(J395)=FALSE,K395,J395),I395)</f>
        <v>1.4941381954176272E-7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5.3483243787849438E-7</v>
      </c>
      <c r="L396" s="664">
        <f t="shared" si="23"/>
        <v>5.3483243787849438E-7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5.3483243787849438E-7</v>
      </c>
      <c r="L397" s="664">
        <f t="shared" si="23"/>
        <v>5.3483243787849438E-7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5.9402113986132252E-8</v>
      </c>
      <c r="L398" s="664">
        <f t="shared" si="23"/>
        <v>5.9402113986132252E-8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2.7045189144606642E-7</v>
      </c>
      <c r="L399" s="664">
        <f t="shared" si="23"/>
        <v>2.7045189144606642E-7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1.4904749365993458E-7</v>
      </c>
      <c r="L401" s="664">
        <f t="shared" si="23"/>
        <v>1.4904749365993458E-7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5.3483243787849438E-7</v>
      </c>
      <c r="L404" s="664">
        <f t="shared" si="23"/>
        <v>5.3483243787849438E-7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5.3483243787849438E-7</v>
      </c>
      <c r="L405" s="664">
        <f t="shared" si="23"/>
        <v>5.3483243787849438E-7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5.9400000000000003E-8</v>
      </c>
      <c r="L409" s="664">
        <f t="shared" si="23"/>
        <v>5.9400000000000003E-8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2.67E-7</v>
      </c>
      <c r="L410" s="664">
        <f t="shared" si="23"/>
        <v>2.67E-7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2.5667631523202679</v>
      </c>
      <c r="E5" s="372">
        <v>0</v>
      </c>
      <c r="F5" s="372">
        <f>E.w1R</f>
        <v>2.5667631523202679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2.5667631523202679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-9.7096164992800062E-6</v>
      </c>
      <c r="E9" s="179">
        <f>k.w0R.aR</f>
        <v>1.8146790937378692E-8</v>
      </c>
      <c r="F9" s="179">
        <f>k.w1R.aR</f>
        <v>6.0488393818910984E-7</v>
      </c>
      <c r="G9" s="179">
        <f>k.w2R.aR</f>
        <v>1.814670627700622E-7</v>
      </c>
      <c r="H9" s="376">
        <v>0</v>
      </c>
      <c r="I9" s="376">
        <v>0</v>
      </c>
      <c r="J9" s="179">
        <f>k.s1R.aR</f>
        <v>2.7308847439494821E-7</v>
      </c>
      <c r="K9" s="179">
        <f>k.s2R.aR</f>
        <v>1.2427006650910626E-7</v>
      </c>
      <c r="L9" s="179">
        <f>k.s3R.aR</f>
        <v>2.7308847439494821E-7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7.9128981788738238E-9</v>
      </c>
      <c r="E10" s="378">
        <f>-k.w0R-SUM(E9,E11:E41)</f>
        <v>-2.3775452922310164E-7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2.2995302974166017E-8</v>
      </c>
      <c r="K10" s="689">
        <f>k.s2R.w0R</f>
        <v>1.0464109978745858E-8</v>
      </c>
      <c r="L10" s="689">
        <f>k.s3R.w0R</f>
        <v>2.2995302974166017E-8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8.7041879967612062E-8</v>
      </c>
      <c r="E11" s="179">
        <f>k.w0R.w1R</f>
        <v>2.3972602739726025E-9</v>
      </c>
      <c r="F11" s="378">
        <f>-k.w1R-SUM(F9:F10,F12:F41)</f>
        <v>-9.0406396362689204E-7</v>
      </c>
      <c r="G11" s="376">
        <v>0</v>
      </c>
      <c r="H11" s="179">
        <f>k.sd1R.w1R</f>
        <v>8.9164056341895164E-7</v>
      </c>
      <c r="I11" s="376">
        <v>0</v>
      </c>
      <c r="J11" s="179">
        <f>k.s1R.w1R</f>
        <v>2.529483327158262E-7</v>
      </c>
      <c r="K11" s="179">
        <f>k.s2R.w1R</f>
        <v>1.1510520976620445E-7</v>
      </c>
      <c r="L11" s="179">
        <f>k.s3R.w1R</f>
        <v>2.529483327158262E-7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1.3847658360893962E-8</v>
      </c>
      <c r="E12" s="179">
        <f>k.w0R.w2R</f>
        <v>0</v>
      </c>
      <c r="F12" s="179">
        <f>k.w1R.w2R</f>
        <v>7.26442507264425E-8</v>
      </c>
      <c r="G12" s="378">
        <f>-k.w2R-SUM(G9:G11,G13:G41)</f>
        <v>-1.771299578947928E-6</v>
      </c>
      <c r="H12" s="376">
        <v>0</v>
      </c>
      <c r="I12" s="179">
        <f>k.sd2R.w2R</f>
        <v>8.7313247488521244E-7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9.3285619169455224E-9</v>
      </c>
      <c r="G13" s="376">
        <v>0</v>
      </c>
      <c r="H13" s="378">
        <f>-k.sd1R-SUM(H9:H12,H14:H41)</f>
        <v>-9.1865982784711612E-7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2.7685994651458337E-9</v>
      </c>
      <c r="H14" s="376">
        <v>0</v>
      </c>
      <c r="I14" s="378">
        <f>-k.sd2R-SUM(I9:I13,I15:I41)</f>
        <v>-8.9936970439032594E-7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1.285993652591919E-8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-6.5932693568666469E-7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2.8577636724264861E-8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-3.5912108645868128E-7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4.7629394540441438E-9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-6.5932693568666469E-7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-3.5250900514455198E-6</v>
      </c>
      <c r="N18" s="179">
        <f>k.w0C.aC</f>
        <v>1.8146790937378692E-8</v>
      </c>
      <c r="O18" s="179">
        <f>k.w1C.aC</f>
        <v>6.0488393818910984E-7</v>
      </c>
      <c r="P18" s="179">
        <f>k.w2C.aC</f>
        <v>9.0733531385031098E-9</v>
      </c>
      <c r="Q18" s="376">
        <v>0</v>
      </c>
      <c r="R18" s="376">
        <v>0</v>
      </c>
      <c r="S18" s="691">
        <f>k.s1C.aC</f>
        <v>2.7308847439494821E-7</v>
      </c>
      <c r="T18" s="691">
        <f>k.s2C.aC</f>
        <v>1.2427006650910626E-7</v>
      </c>
      <c r="U18" s="691">
        <f>k.s3C.aC</f>
        <v>2.7308847439494821E-7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3.8482071798259994E-9</v>
      </c>
      <c r="N19" s="378">
        <f>-k.w0C-SUM(N9:N18,N20:N41)</f>
        <v>-2.3775452922310164E-7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2.299530297416602E-8</v>
      </c>
      <c r="T19" s="691">
        <f>k.s2C.w0C</f>
        <v>1.0464109978745859E-8</v>
      </c>
      <c r="U19" s="691">
        <f>k.s3C.w0C</f>
        <v>2.299530297416602E-8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4.2330278978085983E-8</v>
      </c>
      <c r="N20" s="179">
        <f>k.w0C.w1C</f>
        <v>2.3972602739726029E-9</v>
      </c>
      <c r="O20" s="378">
        <f>-k.w1C-SUM(O9:O19,O21:O41)</f>
        <v>-9.0406396362689204E-7</v>
      </c>
      <c r="P20" s="376">
        <v>0</v>
      </c>
      <c r="Q20" s="179">
        <f>k.sd1C.w1C</f>
        <v>8.9166170328018226E-7</v>
      </c>
      <c r="R20" s="376">
        <v>0</v>
      </c>
      <c r="S20" s="691">
        <f>k.s1C.w1C</f>
        <v>2.529483327158262E-7</v>
      </c>
      <c r="T20" s="691">
        <f>k.s2C.w1C</f>
        <v>1.1510520976620445E-7</v>
      </c>
      <c r="U20" s="691">
        <f>k.s3C.w1C</f>
        <v>2.529483327158262E-7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1.6397736010416613E-6</v>
      </c>
      <c r="N21" s="179">
        <f>k.w0C.w2C</f>
        <v>0</v>
      </c>
      <c r="O21" s="179">
        <f>k.w1C.w2C</f>
        <v>7.2644250726442513E-8</v>
      </c>
      <c r="P21" s="378">
        <f>-k.w2C-SUM(P9:P20,P22:P41)</f>
        <v>-2.5812919528374369E-7</v>
      </c>
      <c r="Q21" s="376">
        <v>0</v>
      </c>
      <c r="R21" s="179">
        <f>k.sd2C.w2C</f>
        <v>8.7433247488521242E-7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9.3285619169455224E-9</v>
      </c>
      <c r="P22" s="376">
        <v>0</v>
      </c>
      <c r="Q22" s="378">
        <f>-k.sd1C-SUM(Q9:Q21,Q23:Q41)</f>
        <v>-9.1865982784711601E-7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1.3842997325729167E-10</v>
      </c>
      <c r="Q23" s="376">
        <v>0</v>
      </c>
      <c r="R23" s="378">
        <f>-k.sd2C-SUM(R9:R22,R24:R41)</f>
        <v>-8.9936970439032594E-7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6.2604343855921001E-9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-6.5932693568666469E-7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1.3912076412426888E-8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-3.5912108645868128E-7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2.3186794020711477E-9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-6.5932693568666469E-7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-2.9125193055856895E-6</v>
      </c>
      <c r="W27" s="179">
        <f>k.w2M.aM</f>
        <v>1.814670627700622E-8</v>
      </c>
      <c r="X27" s="376">
        <v>0</v>
      </c>
      <c r="Y27" s="376">
        <v>0</v>
      </c>
      <c r="Z27" s="179">
        <f>k.sM.aM</f>
        <v>2.7308847439494821E-7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1.5895311400538746E-6</v>
      </c>
      <c r="W28" s="378">
        <f>-k.w2M-SUM(W9:W27,W29:W41)</f>
        <v>-5.292105815403004E-7</v>
      </c>
      <c r="X28" s="376">
        <f>k.w3M.w2M</f>
        <v>8.3037289171706622E-9</v>
      </c>
      <c r="Y28" s="179">
        <v>0</v>
      </c>
      <c r="Z28" s="179">
        <f>k.sM.w2M</f>
        <v>2.7594363568999222E-7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-2.268115608092287E-7</v>
      </c>
      <c r="Y29" s="376">
        <f>k.sdM.w3M</f>
        <v>8.7524282428423103E-7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9.2286648838194441E-12</v>
      </c>
      <c r="Y30" s="378">
        <f>-k.sdM-SUM(Y9:Y29,Y31:Y41)</f>
        <v>-8.9936970439032594E-7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2.3946562320627867E-8</v>
      </c>
      <c r="W31" s="376">
        <v>0</v>
      </c>
      <c r="X31" s="376">
        <v>0</v>
      </c>
      <c r="Y31" s="376">
        <v>0</v>
      </c>
      <c r="Z31" s="378">
        <f>-k.sM-SUM(Z9:Z30,Z32:Z41)</f>
        <v>-6.5932693568666469E-7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-3.3608575277704032E-6</v>
      </c>
      <c r="AB32" s="179">
        <f>k.w2A.aA</f>
        <v>6.3465361039715372E-9</v>
      </c>
      <c r="AC32" s="376">
        <v>0</v>
      </c>
      <c r="AD32" s="376">
        <v>0</v>
      </c>
      <c r="AE32" s="179">
        <f>k.sA.aA</f>
        <v>5.9528448242514022E-8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2.5320540231950468E-6</v>
      </c>
      <c r="AB33" s="378">
        <f>-k.w2A-SUM(AB9:AB32,AB34:AB41)</f>
        <v>-3.228807314062487E-7</v>
      </c>
      <c r="AC33" s="376">
        <f>k.w3A.w2A</f>
        <v>8.9753746616491718E-9</v>
      </c>
      <c r="AD33" s="179">
        <v>0</v>
      </c>
      <c r="AE33" s="179">
        <f>k.sA.w2A</f>
        <v>9.8583251403148694E-8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-5.8218343093060518E-8</v>
      </c>
      <c r="AD34" s="376">
        <f>k.sdA.w3A</f>
        <v>8.7524369423241345E-7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9.2286648838194441E-12</v>
      </c>
      <c r="AD35" s="378">
        <f>-k.sdA-SUM(AD9:AD34,AD36:AD41)</f>
        <v>-8.8049607606885577E-7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2.3945691091915809E-8</v>
      </c>
      <c r="AB36" s="376">
        <v>0</v>
      </c>
      <c r="AC36" s="376">
        <v>0</v>
      </c>
      <c r="AD36" s="376">
        <v>0</v>
      </c>
      <c r="AE36" s="378">
        <f>-k.sA-SUM(AE9:AE35,AE37:AE41)</f>
        <v>-1.823754742868684E-7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-2.2357892315788613E-6</v>
      </c>
      <c r="AG37" s="179">
        <f>k.w2T.aT</f>
        <v>2.7187178521254531E-8</v>
      </c>
      <c r="AH37" s="376">
        <v>0</v>
      </c>
      <c r="AI37" s="376">
        <v>0</v>
      </c>
      <c r="AJ37" s="380">
        <f>k.sT.aT</f>
        <v>6.7101109101460826E-7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1.6724461398021193E-6</v>
      </c>
      <c r="AG38" s="378">
        <f>-k.w2T-SUM(AG9:AG37,AG39:AG41)</f>
        <v>-8.0607077221561061E-7</v>
      </c>
      <c r="AH38" s="376">
        <f>k.w3T.w2T</f>
        <v>7.5748144375595357E-9</v>
      </c>
      <c r="AI38" s="179">
        <v>0</v>
      </c>
      <c r="AJ38" s="380">
        <f>k.sT.w2T</f>
        <v>5.1233029146448442E-7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-5.4241648098093768E-7</v>
      </c>
      <c r="AI39" s="376">
        <f>k.sdT.w3T</f>
        <v>8.7524369423241345E-7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9.2286648838194441E-12</v>
      </c>
      <c r="AI40" s="378">
        <f>-k.sdT-SUM(AI9:AI39,AI41)</f>
        <v>-9.3464580821854568E-7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1.4205517469731309E-8</v>
      </c>
      <c r="AG41" s="373">
        <v>0</v>
      </c>
      <c r="AH41" s="373">
        <v>0</v>
      </c>
      <c r="AI41" s="373">
        <v>0</v>
      </c>
      <c r="AJ41" s="381">
        <f>-k.sT-SUM(AJ9:AJ40)</f>
        <v>-1.453793273925159E-6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46120770.36262352</v>
      </c>
      <c r="D45" s="370">
        <f t="array" ref="D45:AJ45">TRANSPOSE(MMULT(MINVERSE(D9:AJ41),-TRANSPOSE(D5:AJ5)))</f>
        <v>658652.60195246805</v>
      </c>
      <c r="E45" s="370">
        <v>340501.47434130294</v>
      </c>
      <c r="F45" s="370">
        <v>3863748.7376900753</v>
      </c>
      <c r="G45" s="370">
        <v>163976.97618538109</v>
      </c>
      <c r="H45" s="370">
        <v>39234.565655852653</v>
      </c>
      <c r="I45" s="370">
        <v>504.78303454843456</v>
      </c>
      <c r="J45" s="370">
        <v>12846.78388714519</v>
      </c>
      <c r="K45" s="370">
        <v>7199760.7063483912</v>
      </c>
      <c r="L45" s="370">
        <v>4758.0681063500697</v>
      </c>
      <c r="M45" s="370">
        <v>1850673.2962494995</v>
      </c>
      <c r="N45" s="370">
        <v>35438.780519111271</v>
      </c>
      <c r="O45" s="370">
        <v>103650.28151887961</v>
      </c>
      <c r="P45" s="370">
        <v>12751521.662766732</v>
      </c>
      <c r="Q45" s="370">
        <v>1052.5202469380388</v>
      </c>
      <c r="R45" s="370">
        <v>1962.6998709759534</v>
      </c>
      <c r="S45" s="370">
        <v>17572.49418040389</v>
      </c>
      <c r="T45" s="370">
        <v>71693.669023312192</v>
      </c>
      <c r="U45" s="370">
        <v>6508.3311779273645</v>
      </c>
      <c r="V45" s="370">
        <v>972108.43381802109</v>
      </c>
      <c r="W45" s="370">
        <v>3787591.9438373246</v>
      </c>
      <c r="X45" s="370">
        <v>4221812.0431334246</v>
      </c>
      <c r="Y45" s="370">
        <v>43.321104055826744</v>
      </c>
      <c r="Z45" s="370">
        <v>35306.69525671257</v>
      </c>
      <c r="AA45" s="370">
        <v>112890.86561099923</v>
      </c>
      <c r="AB45" s="370">
        <v>1541741.9792608023</v>
      </c>
      <c r="AC45" s="370">
        <v>7131717.5726062618</v>
      </c>
      <c r="AD45" s="370">
        <v>74.749034450532363</v>
      </c>
      <c r="AE45" s="370">
        <v>14822.441480085636</v>
      </c>
      <c r="AF45" s="370">
        <v>293995.07950282062</v>
      </c>
      <c r="AG45" s="370">
        <v>614323.58447574312</v>
      </c>
      <c r="AH45" s="370">
        <v>267407.85264983686</v>
      </c>
      <c r="AI45" s="370">
        <v>2.6403771757248071</v>
      </c>
      <c r="AJ45" s="371">
        <v>2872.7277205076421</v>
      </c>
    </row>
    <row r="46" spans="1:36" ht="12.75" customHeight="1" x14ac:dyDescent="0.2">
      <c r="B46" s="255" t="s">
        <v>2410</v>
      </c>
      <c r="C46" s="531">
        <f>SUM(D46:AJ46)</f>
        <v>63309425.083726503</v>
      </c>
      <c r="D46" s="383">
        <f>D45</f>
        <v>658652.60195246805</v>
      </c>
      <c r="E46" s="383"/>
      <c r="F46" s="383">
        <f t="shared" ref="F46:AJ46" si="0">F45</f>
        <v>3863748.7376900753</v>
      </c>
      <c r="G46" s="383">
        <f t="shared" si="0"/>
        <v>163976.97618538109</v>
      </c>
      <c r="H46" s="383">
        <f t="shared" si="0"/>
        <v>39234.565655852653</v>
      </c>
      <c r="I46" s="383">
        <f t="shared" si="0"/>
        <v>504.78303454843456</v>
      </c>
      <c r="J46" s="383">
        <f t="shared" si="0"/>
        <v>12846.78388714519</v>
      </c>
      <c r="K46" s="383">
        <f t="shared" si="0"/>
        <v>7199760.7063483912</v>
      </c>
      <c r="L46" s="383">
        <f t="shared" si="0"/>
        <v>4758.0681063500697</v>
      </c>
      <c r="M46" s="383">
        <f t="shared" si="0"/>
        <v>1850673.2962494995</v>
      </c>
      <c r="N46" s="383"/>
      <c r="O46" s="383">
        <f t="shared" si="0"/>
        <v>103650.28151887961</v>
      </c>
      <c r="P46" s="383">
        <f t="shared" si="0"/>
        <v>12751521.662766732</v>
      </c>
      <c r="Q46" s="383">
        <f t="shared" si="0"/>
        <v>1052.5202469380388</v>
      </c>
      <c r="R46" s="383">
        <f t="shared" si="0"/>
        <v>1962.6998709759534</v>
      </c>
      <c r="S46" s="383">
        <f t="shared" si="0"/>
        <v>17572.49418040389</v>
      </c>
      <c r="T46" s="383">
        <f t="shared" si="0"/>
        <v>71693.669023312192</v>
      </c>
      <c r="U46" s="383">
        <f t="shared" si="0"/>
        <v>6508.3311779273645</v>
      </c>
      <c r="V46" s="383">
        <f t="shared" si="0"/>
        <v>972108.43381802109</v>
      </c>
      <c r="W46" s="383">
        <f>SUM(W45:X45)</f>
        <v>8009403.9869707488</v>
      </c>
      <c r="X46" s="383">
        <f>SUM(W45:X45)</f>
        <v>8009403.9869707488</v>
      </c>
      <c r="Y46" s="383">
        <f t="shared" si="0"/>
        <v>43.321104055826744</v>
      </c>
      <c r="Z46" s="383">
        <f t="shared" si="0"/>
        <v>35306.69525671257</v>
      </c>
      <c r="AA46" s="383">
        <f t="shared" si="0"/>
        <v>112890.86561099923</v>
      </c>
      <c r="AB46" s="383">
        <f>SUM(AB45:AC45)</f>
        <v>8673459.5518670641</v>
      </c>
      <c r="AC46" s="383">
        <f>SUM(AB45:AC45)</f>
        <v>8673459.5518670641</v>
      </c>
      <c r="AD46" s="383">
        <f t="shared" si="0"/>
        <v>74.749034450532363</v>
      </c>
      <c r="AE46" s="383">
        <f t="shared" si="0"/>
        <v>14822.441480085636</v>
      </c>
      <c r="AF46" s="383">
        <f t="shared" si="0"/>
        <v>293995.07950282062</v>
      </c>
      <c r="AG46" s="383">
        <f>SUM(AG45:AH45)</f>
        <v>881731.43712557992</v>
      </c>
      <c r="AH46" s="383">
        <f>SUM(AG45:AH45)</f>
        <v>881731.43712557992</v>
      </c>
      <c r="AI46" s="383">
        <f t="shared" si="0"/>
        <v>2.6403771757248071</v>
      </c>
      <c r="AJ46" s="384">
        <f t="shared" si="0"/>
        <v>2872.7277205076421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-8.8443208411551413E-3</v>
      </c>
      <c r="E48" s="515" t="e">
        <f t="shared" ref="E48:AJ48" si="1">IF(E49&gt;0.0001,LOG(E46/E47),"")</f>
        <v>#DIV/0!</v>
      </c>
      <c r="F48" s="515">
        <f t="shared" si="1"/>
        <v>0.51058201815748805</v>
      </c>
      <c r="G48" s="515">
        <f t="shared" si="1"/>
        <v>0.60512160338386156</v>
      </c>
      <c r="H48" s="515">
        <f t="shared" si="1"/>
        <v>-0.61555156953780965</v>
      </c>
      <c r="I48" s="515" t="str">
        <f t="shared" si="1"/>
        <v/>
      </c>
      <c r="J48" s="515">
        <f t="shared" si="1"/>
        <v>0.75268485981002831</v>
      </c>
      <c r="K48" s="515">
        <f t="shared" si="1"/>
        <v>-0.45688069878504667</v>
      </c>
      <c r="L48" s="515">
        <f t="shared" si="1"/>
        <v>0.75268485981002831</v>
      </c>
      <c r="M48" s="515">
        <f t="shared" si="1"/>
        <v>-0.30021423375378381</v>
      </c>
      <c r="N48" s="515" t="e">
        <f t="shared" si="1"/>
        <v>#DIV/0!</v>
      </c>
      <c r="O48" s="515">
        <f t="shared" si="1"/>
        <v>1.4972867713427525</v>
      </c>
      <c r="P48" s="515">
        <f t="shared" si="1"/>
        <v>0.87545390954277535</v>
      </c>
      <c r="Q48" s="515" t="str">
        <f t="shared" si="1"/>
        <v/>
      </c>
      <c r="R48" s="515" t="str">
        <f t="shared" si="1"/>
        <v/>
      </c>
      <c r="S48" s="515">
        <f t="shared" si="1"/>
        <v>0.4341820993050744</v>
      </c>
      <c r="T48" s="515">
        <f t="shared" si="1"/>
        <v>0.25793237366163729</v>
      </c>
      <c r="U48" s="515">
        <f t="shared" si="1"/>
        <v>0.43418209930507423</v>
      </c>
      <c r="V48" s="515">
        <f t="shared" si="1"/>
        <v>-0.82160324784970462</v>
      </c>
      <c r="W48" s="515">
        <f t="shared" si="1"/>
        <v>0.25389625877795297</v>
      </c>
      <c r="X48" s="515">
        <f t="shared" si="1"/>
        <v>0.25389625877795297</v>
      </c>
      <c r="Y48" s="515" t="str">
        <f t="shared" si="1"/>
        <v/>
      </c>
      <c r="Z48" s="515">
        <f t="shared" si="1"/>
        <v>-5.9571861783569928E-2</v>
      </c>
      <c r="AA48" s="515">
        <f t="shared" si="1"/>
        <v>-1.3132617363980874</v>
      </c>
      <c r="AB48" s="515">
        <f t="shared" si="1"/>
        <v>-0.36765622664566866</v>
      </c>
      <c r="AC48" s="515">
        <f t="shared" si="1"/>
        <v>-0.36765622664566866</v>
      </c>
      <c r="AD48" s="515" t="str">
        <f t="shared" si="1"/>
        <v/>
      </c>
      <c r="AE48" s="515">
        <f t="shared" si="1"/>
        <v>-0.49461985121813179</v>
      </c>
      <c r="AF48" s="515">
        <f t="shared" si="1"/>
        <v>-1.3283758676572233</v>
      </c>
      <c r="AG48" s="515">
        <f t="shared" si="1"/>
        <v>-9.6140813697116703E-2</v>
      </c>
      <c r="AH48" s="515">
        <f t="shared" si="1"/>
        <v>-9.6140813697116703E-2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0.99999999999999978</v>
      </c>
      <c r="D49" s="151">
        <f t="shared" ref="D49:AJ49" si="2">D45/SUM($D45:$AJ45)</f>
        <v>1.4281040771301667E-2</v>
      </c>
      <c r="E49" s="151">
        <f t="shared" si="2"/>
        <v>7.3828227860054749E-3</v>
      </c>
      <c r="F49" s="151">
        <f t="shared" si="2"/>
        <v>8.3774592386715085E-2</v>
      </c>
      <c r="G49" s="151">
        <f t="shared" si="2"/>
        <v>3.5553824208944432E-3</v>
      </c>
      <c r="H49" s="151">
        <f t="shared" si="2"/>
        <v>8.5069189754142789E-4</v>
      </c>
      <c r="I49" s="151">
        <f t="shared" si="2"/>
        <v>1.0944809260114028E-5</v>
      </c>
      <c r="J49" s="151">
        <f t="shared" si="2"/>
        <v>2.7854660245563205E-4</v>
      </c>
      <c r="K49" s="151">
        <f t="shared" si="2"/>
        <v>0.15610668793561847</v>
      </c>
      <c r="L49" s="151">
        <f t="shared" si="2"/>
        <v>1.0316540831690074E-4</v>
      </c>
      <c r="M49" s="151">
        <f t="shared" si="2"/>
        <v>4.0126677887177997E-2</v>
      </c>
      <c r="N49" s="151">
        <f t="shared" si="2"/>
        <v>7.6839090588632101E-4</v>
      </c>
      <c r="O49" s="151">
        <f t="shared" si="2"/>
        <v>2.2473666572334241E-3</v>
      </c>
      <c r="P49" s="151">
        <f t="shared" si="2"/>
        <v>0.2764811073732763</v>
      </c>
      <c r="Q49" s="151">
        <f t="shared" si="2"/>
        <v>2.2820959811872655E-5</v>
      </c>
      <c r="R49" s="151">
        <f t="shared" si="2"/>
        <v>4.2555661051284914E-5</v>
      </c>
      <c r="S49" s="151">
        <f t="shared" si="2"/>
        <v>3.810104220341627E-4</v>
      </c>
      <c r="T49" s="151">
        <f t="shared" si="2"/>
        <v>1.5544768324471238E-3</v>
      </c>
      <c r="U49" s="151">
        <f t="shared" si="2"/>
        <v>1.4111497112376391E-4</v>
      </c>
      <c r="V49" s="151">
        <f t="shared" si="2"/>
        <v>2.1077454391477859E-2</v>
      </c>
      <c r="W49" s="151">
        <f t="shared" si="2"/>
        <v>8.2123345166558753E-2</v>
      </c>
      <c r="X49" s="151">
        <f t="shared" si="2"/>
        <v>9.1538194395703334E-2</v>
      </c>
      <c r="Y49" s="151">
        <f t="shared" si="2"/>
        <v>9.3929706106848471E-7</v>
      </c>
      <c r="Z49" s="151">
        <f t="shared" si="2"/>
        <v>7.6552700614309938E-4</v>
      </c>
      <c r="AA49" s="151">
        <f t="shared" si="2"/>
        <v>2.4477228962872331E-3</v>
      </c>
      <c r="AB49" s="151">
        <f t="shared" si="2"/>
        <v>3.3428365726307058E-2</v>
      </c>
      <c r="AC49" s="151">
        <f t="shared" si="2"/>
        <v>0.15463136275767497</v>
      </c>
      <c r="AD49" s="151">
        <f t="shared" si="2"/>
        <v>1.6207238921383957E-6</v>
      </c>
      <c r="AE49" s="151">
        <f t="shared" si="2"/>
        <v>3.2138321549151331E-4</v>
      </c>
      <c r="AF49" s="151">
        <f t="shared" si="2"/>
        <v>6.3744615970481614E-3</v>
      </c>
      <c r="AG49" s="151">
        <f t="shared" si="2"/>
        <v>1.3319889924770071E-2</v>
      </c>
      <c r="AH49" s="151">
        <f t="shared" si="2"/>
        <v>5.7979918927491591E-3</v>
      </c>
      <c r="AI49" s="151">
        <f t="shared" si="2"/>
        <v>5.7249199329605751E-8</v>
      </c>
      <c r="AJ49" s="253">
        <f t="shared" si="2"/>
        <v>6.2287071484732042E-5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2.8690708801344604E-9</v>
      </c>
      <c r="E50" s="179">
        <f t="shared" si="3"/>
        <v>5.9588130435543234E-6</v>
      </c>
      <c r="F50" s="179">
        <f t="shared" si="3"/>
        <v>2.0489704699919926E-4</v>
      </c>
      <c r="G50" s="179">
        <f t="shared" si="3"/>
        <v>1.6397697618538091E-5</v>
      </c>
      <c r="H50" s="179">
        <f t="shared" si="3"/>
        <v>2.0806339099541235E-4</v>
      </c>
      <c r="I50" s="179">
        <f t="shared" si="3"/>
        <v>1.682610115161447E-5</v>
      </c>
      <c r="J50" s="179">
        <f t="shared" si="3"/>
        <v>4.1633356139038976E-6</v>
      </c>
      <c r="K50" s="179">
        <f t="shared" si="3"/>
        <v>2.624929163330122E-4</v>
      </c>
      <c r="L50" s="179">
        <f t="shared" si="3"/>
        <v>4.1633356139038976E-6</v>
      </c>
      <c r="M50" s="179">
        <f t="shared" si="3"/>
        <v>2.5706473538903353E-10</v>
      </c>
      <c r="N50" s="179">
        <f t="shared" si="3"/>
        <v>4.0665986412584942E-8</v>
      </c>
      <c r="O50" s="179">
        <f t="shared" si="3"/>
        <v>3.6042017095268064E-7</v>
      </c>
      <c r="P50" s="179">
        <f t="shared" si="3"/>
        <v>1.7169557984126089E-8</v>
      </c>
      <c r="Q50" s="179">
        <f t="shared" si="3"/>
        <v>3.6598986686154643E-7</v>
      </c>
      <c r="R50" s="179">
        <f t="shared" si="3"/>
        <v>1.7618127013319775E-8</v>
      </c>
      <c r="S50" s="179">
        <f t="shared" si="3"/>
        <v>3.734153706382028E-7</v>
      </c>
      <c r="T50" s="179">
        <f t="shared" si="3"/>
        <v>1.7139261752143956E-7</v>
      </c>
      <c r="U50" s="179">
        <f t="shared" si="3"/>
        <v>3.734153706382028E-7</v>
      </c>
      <c r="V50" s="179">
        <f t="shared" si="3"/>
        <v>1.2531824755250869E-11</v>
      </c>
      <c r="W50" s="179">
        <f t="shared" si="3"/>
        <v>9.7654617187396775E-10</v>
      </c>
      <c r="X50" s="179">
        <f t="shared" si="3"/>
        <v>3.6283338246097965E-11</v>
      </c>
      <c r="Y50" s="179">
        <f t="shared" si="3"/>
        <v>3.7231270733818708E-11</v>
      </c>
      <c r="Z50" s="179">
        <f t="shared" si="3"/>
        <v>1.8206089043231039E-8</v>
      </c>
      <c r="AA50" s="179">
        <f t="shared" si="3"/>
        <v>2.6562556614352761E-12</v>
      </c>
      <c r="AB50" s="179">
        <f t="shared" si="3"/>
        <v>6.0460469774933421E-10</v>
      </c>
      <c r="AC50" s="179">
        <f t="shared" si="3"/>
        <v>9.3225066308578583E-11</v>
      </c>
      <c r="AD50" s="179">
        <f t="shared" si="3"/>
        <v>9.7711156144486752E-11</v>
      </c>
      <c r="AE50" s="179">
        <f t="shared" si="3"/>
        <v>1.7438166447159572E-8</v>
      </c>
      <c r="AF50" s="179">
        <f t="shared" si="3"/>
        <v>2.3058437608064361E-12</v>
      </c>
      <c r="AG50" s="179">
        <f t="shared" si="3"/>
        <v>6.883177417095162E-11</v>
      </c>
      <c r="AH50" s="179">
        <f t="shared" si="3"/>
        <v>9.9872213874822365E-13</v>
      </c>
      <c r="AI50" s="179">
        <f t="shared" si="3"/>
        <v>9.8613526637714555E-13</v>
      </c>
      <c r="AJ50" s="380">
        <f t="shared" si="3"/>
        <v>1.5020798538602046E-9</v>
      </c>
    </row>
    <row r="51" spans="1:36" ht="12.75" customHeight="1" x14ac:dyDescent="0.2">
      <c r="B51" s="141" t="s">
        <v>703</v>
      </c>
      <c r="C51" s="254"/>
      <c r="D51" s="385">
        <f>D50*8.314*TEMP.R</f>
        <v>6.798234759769803E-6</v>
      </c>
      <c r="E51" s="385">
        <f>E50*Kaw.R*8.314*TEMP.R</f>
        <v>8.1581595377136068E-6</v>
      </c>
      <c r="F51" s="385">
        <f>F50*Kaw.R*8.314*TEMP.R</f>
        <v>2.8052277962203052E-4</v>
      </c>
      <c r="G51" s="385">
        <f>G50*Kaw.R*8.314*TEMP.R</f>
        <v>2.2449946364389683E-5</v>
      </c>
      <c r="H51" s="385">
        <f>H50*Kaw.R/Ksdw1.R*8.314*TEMP.R</f>
        <v>2.689404429931231E-4</v>
      </c>
      <c r="I51" s="385">
        <f>I50*Kaw.R/Ksdw2.R*8.314*TEMP.R</f>
        <v>2.1749232654110073E-5</v>
      </c>
      <c r="J51" s="385">
        <f>J50*Kaw.R/Ks1w.R*8.314*TEMP.R</f>
        <v>1.1151560384351909E-5</v>
      </c>
      <c r="K51" s="385">
        <f>K50*Kaw.R/Ks2w.R*8.314*TEMP.R</f>
        <v>7.0309143398781203E-4</v>
      </c>
      <c r="L51" s="385">
        <f>L50*Kaw.R/Ks3w.R*8.314*TEMP.R</f>
        <v>1.1151560384351909E-5</v>
      </c>
      <c r="M51" s="385">
        <f>M50*8.314*TEMP.C</f>
        <v>6.0911231985696105E-7</v>
      </c>
      <c r="N51" s="385">
        <f>N50*Kaw.C*8.314*TEMP.C</f>
        <v>5.5675451216115548E-8</v>
      </c>
      <c r="O51" s="385">
        <f>O50*Kaw.C*8.314*TEMP.C</f>
        <v>4.9344814709744697E-7</v>
      </c>
      <c r="P51" s="385">
        <f>P50*Kaw.C*8.314*TEMP.C</f>
        <v>2.3506693732914072E-8</v>
      </c>
      <c r="Q51" s="385">
        <f>Q50*Kaw.C/Ksdw1.C*8.314*TEMP.C</f>
        <v>4.7307446280594711E-7</v>
      </c>
      <c r="R51" s="385">
        <f>R50*Kaw.C/Ksdw2.C*8.314*TEMP.C</f>
        <v>2.2772996542076949E-8</v>
      </c>
      <c r="S51" s="385">
        <f>S50*Kaw.C/Ks1w.C*8.314*TEMP.C</f>
        <v>1.000198984730033E-6</v>
      </c>
      <c r="T51" s="385">
        <f>T50*Kaw.C/Ks2w.C*8.314*TEMP.C</f>
        <v>4.5907784069568945E-7</v>
      </c>
      <c r="U51" s="385">
        <f>U50*Kaw.C/Ks3w.C*8.314*TEMP.C</f>
        <v>1.000198984730033E-6</v>
      </c>
      <c r="V51" s="385">
        <f>V50*8.314*TEMP.M</f>
        <v>2.9694033439319384E-8</v>
      </c>
      <c r="W51" s="385">
        <f>W50*Kaw.M*8.314*TEMP.M</f>
        <v>1.3369809403080817E-9</v>
      </c>
      <c r="X51" s="385">
        <f>X50*Kaw.M*8.314*TEMP.M</f>
        <v>4.967520541573012E-11</v>
      </c>
      <c r="Y51" s="385">
        <f>Y50*Kaw.M/Ksdw.M*8.314*TEMP.M</f>
        <v>4.8124729662657866E-11</v>
      </c>
      <c r="Z51" s="372">
        <f>Z50*Kaw.M/Kslw.M*8.314*TEMP.M</f>
        <v>4.8765297866079031E-8</v>
      </c>
      <c r="AA51" s="385">
        <f>AA50*8.314*TEMP.A</f>
        <v>5.8081208166924686E-9</v>
      </c>
      <c r="AB51" s="385">
        <f>AB50*Kaw.A*8.314*TEMP.A</f>
        <v>2.012982029546995E-10</v>
      </c>
      <c r="AC51" s="385">
        <f>AC50*Kaw.A*8.314*TEMP.A</f>
        <v>3.1038525483025383E-11</v>
      </c>
      <c r="AD51" s="385">
        <f>AD50*Kaw.A/Ksdw.A*8.314*TEMP.A</f>
        <v>3.0714294344841898E-11</v>
      </c>
      <c r="AE51" s="372">
        <f>AE50*Kaw.A/Kslw.A*8.314*TEMP.A</f>
        <v>1.1360653181496324E-8</v>
      </c>
      <c r="AF51" s="385">
        <f>AF50*8.314*TEMP.T</f>
        <v>5.7128939381487242E-9</v>
      </c>
      <c r="AG51" s="385">
        <f>AG50*Kaw.T*8.314*TEMP.T</f>
        <v>1.9699722594575591E-10</v>
      </c>
      <c r="AH51" s="385">
        <f>AH50*Kaw.T*8.314*TEMP.T</f>
        <v>2.8583527476042154E-12</v>
      </c>
      <c r="AI51" s="385">
        <f>AI50*Kaw.T/Ksdw.T*8.314*TEMP.T</f>
        <v>2.6646222289736069E-12</v>
      </c>
      <c r="AJ51" s="386">
        <f>AJ50*Kaw.T/Kslw.T*8.314*TEMP.T</f>
        <v>8.4086804859684891E-9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-2.4781936031509644</v>
      </c>
      <c r="E55" s="370">
        <f t="shared" ref="E55:AJ55" si="4">E9*E$45</f>
        <v>6.1790090687408395E-3</v>
      </c>
      <c r="F55" s="370">
        <f t="shared" si="4"/>
        <v>2.3371195526271746</v>
      </c>
      <c r="G55" s="370">
        <f t="shared" si="4"/>
        <v>2.9756420230277546E-2</v>
      </c>
      <c r="H55" s="389">
        <f t="shared" si="4"/>
        <v>0</v>
      </c>
      <c r="I55" s="389">
        <f t="shared" si="4"/>
        <v>0</v>
      </c>
      <c r="J55" s="370">
        <f t="shared" si="4"/>
        <v>3.5083086126220823E-3</v>
      </c>
      <c r="K55" s="370">
        <f t="shared" si="4"/>
        <v>0.89471474182756439</v>
      </c>
      <c r="L55" s="370">
        <f t="shared" si="4"/>
        <v>1.2993735602304006E-3</v>
      </c>
      <c r="M55" s="370">
        <f t="shared" si="4"/>
        <v>0.55592361296451231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5.2118509745001903E-3</v>
      </c>
      <c r="E56" s="378">
        <f>SUM(D56,F56:AJ56)-SUM(E55,E57:E87)</f>
        <v>7.3960488005380146E-2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2.9541568772853784E-4</v>
      </c>
      <c r="K56" s="376">
        <f t="shared" si="6"/>
        <v>7.5339087851882522E-2</v>
      </c>
      <c r="L56" s="376">
        <f t="shared" si="6"/>
        <v>1.0941321767723623E-4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5.7330360719502087E-2</v>
      </c>
      <c r="E57" s="179">
        <f t="shared" ref="E57:E87" si="7">E11*E$45</f>
        <v>8.1627065766750695E-4</v>
      </c>
      <c r="F57" s="378">
        <f>SUM(D57:E57,G57:AJ57)-SUM(F55:F56,F58:F87)</f>
        <v>-1.7275290580687468</v>
      </c>
      <c r="G57" s="376">
        <f t="shared" ref="G57:AJ57" si="8">G11*G$45</f>
        <v>0</v>
      </c>
      <c r="H57" s="179">
        <f t="shared" si="8"/>
        <v>3.4983130226882313E-2</v>
      </c>
      <c r="I57" s="376">
        <f t="shared" si="8"/>
        <v>0</v>
      </c>
      <c r="J57" s="179">
        <f t="shared" si="8"/>
        <v>3.2495725650139163E-3</v>
      </c>
      <c r="K57" s="179">
        <f t="shared" si="8"/>
        <v>0.82872996637070784</v>
      </c>
      <c r="L57" s="179">
        <f t="shared" si="8"/>
        <v>1.2035453944495985E-3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9.1207962103516567E-3</v>
      </c>
      <c r="E58" s="179">
        <f t="shared" si="7"/>
        <v>0</v>
      </c>
      <c r="F58" s="179">
        <f t="shared" ref="F58:F87" si="9">F12*F$45</f>
        <v>0.28067913204473355</v>
      </c>
      <c r="G58" s="378">
        <f>SUM(D58:F58,H58:AJ58)-SUM(G55:G57,G59:G87)</f>
        <v>3.561735121345222E-2</v>
      </c>
      <c r="H58" s="376">
        <f t="shared" ref="H58:N58" si="10">H12*H$45</f>
        <v>0</v>
      </c>
      <c r="I58" s="179">
        <f t="shared" si="10"/>
        <v>4.4074246023534234E-4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2.1167815899931258E-4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3.6043219331061971E-2</v>
      </c>
      <c r="G59" s="376">
        <f t="shared" ref="G59:G87" si="12">G13*G$45</f>
        <v>0</v>
      </c>
      <c r="H59" s="378">
        <f>SUM(D59:G59,I59:AJ59)-SUM(H55:H58,H60:H87)</f>
        <v>1.0600891041796581E-3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4.5398656856307723E-4</v>
      </c>
      <c r="H60" s="376">
        <f t="shared" ref="H60:H87" si="15">H14*H$45</f>
        <v>0</v>
      </c>
      <c r="I60" s="378">
        <f>SUM(D60:H60,J60:AJ60)-SUM(I55:I59,I61:I87)</f>
        <v>1.3244108327734895E-5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8.4702306537402568E-3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1.4169337883757202E-3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1.8822734786089458E-2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-1.7799610612640653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3.137122464348243E-3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5.2479029199100757E-4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6.2046015262335548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0.24886153796795529</v>
      </c>
      <c r="N64" s="179">
        <f>N18*N$45</f>
        <v>6.4310014115596091E-4</v>
      </c>
      <c r="O64" s="179">
        <f>O18*O$45</f>
        <v>6.2696390479549807E-2</v>
      </c>
      <c r="P64" s="179">
        <f t="shared" ref="P64:AJ64" si="25">P18*P$45</f>
        <v>0.11569905909955493</v>
      </c>
      <c r="Q64" s="376">
        <f t="shared" si="25"/>
        <v>0</v>
      </c>
      <c r="R64" s="376">
        <f t="shared" si="25"/>
        <v>0</v>
      </c>
      <c r="S64" s="179">
        <f t="shared" si="25"/>
        <v>4.7988456270406038E-3</v>
      </c>
      <c r="T64" s="179">
        <f t="shared" si="25"/>
        <v>8.9093770178088564E-3</v>
      </c>
      <c r="U64" s="179">
        <f t="shared" si="25"/>
        <v>1.7773502322372603E-3</v>
      </c>
      <c r="V64" s="179">
        <f t="shared" si="25"/>
        <v>0.1246643762540955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7.121774266139573E-3</v>
      </c>
      <c r="N65" s="378">
        <f>SUM(D65:M65,O65:AJ65)-SUM(N55:N64,N66:N87)</f>
        <v>7.6976744567096638E-3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4.0408482769015668E-4</v>
      </c>
      <c r="T65" s="376">
        <f t="shared" si="27"/>
        <v>7.50210437439744E-4</v>
      </c>
      <c r="U65" s="376">
        <f t="shared" si="27"/>
        <v>1.4966104729265055E-4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7.8339516927535283E-2</v>
      </c>
      <c r="N66" s="179">
        <f t="shared" ref="N66:N87" si="28">N20*N$45</f>
        <v>8.4955980696499624E-5</v>
      </c>
      <c r="O66" s="378">
        <f>SUM(D66:N66,P66:AJ66)-SUM(O55:O65,O67:O87)</f>
        <v>2.2513588754070141E-2</v>
      </c>
      <c r="P66" s="376">
        <f t="shared" ref="P66:AJ66" si="29">P20*P$45</f>
        <v>0</v>
      </c>
      <c r="Q66" s="179">
        <f t="shared" si="29"/>
        <v>9.3849199612164975E-4</v>
      </c>
      <c r="R66" s="376">
        <f t="shared" si="29"/>
        <v>0</v>
      </c>
      <c r="S66" s="179">
        <f t="shared" si="29"/>
        <v>4.4449331045917232E-3</v>
      </c>
      <c r="T66" s="179">
        <f t="shared" si="29"/>
        <v>8.2523148118371845E-3</v>
      </c>
      <c r="U66" s="179">
        <f t="shared" si="29"/>
        <v>1.6462715202191561E-3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0.22462459086202702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3.0346852153426833</v>
      </c>
      <c r="N67" s="179">
        <f t="shared" si="28"/>
        <v>0</v>
      </c>
      <c r="O67" s="179">
        <f t="shared" ref="O67:O87" si="30">O21*O$45</f>
        <v>7.5295970385238411E-3</v>
      </c>
      <c r="P67" s="378">
        <f>SUM(D67:O67,Q67:AJ67)-SUM(P55:P66,P68:P87)</f>
        <v>2.769751193943522</v>
      </c>
      <c r="Q67" s="376">
        <f t="shared" ref="Q67:AJ67" si="31">Q21*Q$45</f>
        <v>0</v>
      </c>
      <c r="R67" s="179">
        <f t="shared" si="31"/>
        <v>1.7160522356472925E-3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2.2984569974319104E-2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9.6690806885770257E-4</v>
      </c>
      <c r="P68" s="376">
        <f t="shared" ref="P68:P87" si="32">P22*P$45</f>
        <v>0</v>
      </c>
      <c r="Q68" s="378">
        <f>SUM(D68:P68,R68:AJ68)-SUM(Q55:Q67,Q69:Q87)</f>
        <v>2.8416072736052824E-5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1.7651928027665742E-3</v>
      </c>
      <c r="Q69" s="376">
        <f t="shared" ref="Q69:Q87" si="34">Q23*Q$45</f>
        <v>0</v>
      </c>
      <c r="R69" s="378">
        <f>SUM(D69:Q69,S69:AJ69)-SUM(R55:R68,R70:R87)</f>
        <v>4.9140567119281692E-5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1.1586018740337442E-2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1.9381551810149587E-3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2.5746708311860982E-2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7.8348060447751972E-3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4.2911180519768291E-3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7.1783525222776211E-4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2.5572345225119966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0.13072020891090874</v>
      </c>
      <c r="W73" s="179">
        <f t="shared" ref="W73:AJ73" si="43">W27*W$45</f>
        <v>6.8732318501970965E-2</v>
      </c>
      <c r="X73" s="376">
        <f t="shared" si="43"/>
        <v>0</v>
      </c>
      <c r="Y73" s="376">
        <f t="shared" si="43"/>
        <v>0</v>
      </c>
      <c r="Z73" s="179">
        <f t="shared" si="43"/>
        <v>9.6418515435829893E-3</v>
      </c>
      <c r="AA73" s="179">
        <f t="shared" si="43"/>
        <v>7.8159070998729666E-2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0.11751681706137511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0.40411290144835732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1.5451966270627455</v>
      </c>
      <c r="W74" s="378">
        <f>SUM(D74:V74,X74:AJ74)-SUM(W55:W73,W75:W87)</f>
        <v>0.822700818463584</v>
      </c>
      <c r="X74" s="376">
        <f t="shared" ref="X74:AJ74" si="45">X28*X$45</f>
        <v>3.5056782745426375E-2</v>
      </c>
      <c r="Y74" s="376">
        <f t="shared" si="45"/>
        <v>0</v>
      </c>
      <c r="Z74" s="179">
        <f t="shared" si="45"/>
        <v>9.742657853335869E-3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1.0324766125642744E-2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0.94353410251453884</v>
      </c>
      <c r="X75" s="378">
        <f>SUM(D75:W75,Y75:AJ75)-SUM(X55:X74,X76:X87)</f>
        <v>0.91701753377540085</v>
      </c>
      <c r="Y75" s="376">
        <f t="shared" ref="Y75:AJ75" si="47">Y29*Y$45</f>
        <v>3.7916485464932855E-5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1.3983759946286789E-2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3.8961688548551456E-5</v>
      </c>
      <c r="Y76" s="378">
        <f>SUM(D76:X76,Z76:AJ76)-SUM(Y55:Y75,Y77:Y87)</f>
        <v>1.0452030836186009E-6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2.3278655192831191E-2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3.8941457959123307E-3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0.36874303743038145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1.2702024259192035E-2</v>
      </c>
      <c r="AB78" s="179">
        <f t="shared" ref="AB78:AJ78" si="53">AB32*AB$45</f>
        <v>9.7847211343872181E-3</v>
      </c>
      <c r="AC78" s="376">
        <f t="shared" si="53"/>
        <v>0</v>
      </c>
      <c r="AD78" s="376">
        <f t="shared" si="53"/>
        <v>0</v>
      </c>
      <c r="AE78" s="179">
        <f t="shared" si="53"/>
        <v>8.8235694047497073E-4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0.14648192578109517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0.28584577045230197</v>
      </c>
      <c r="AB79" s="378">
        <f>SUM(D79:AA79,AC79:AJ79)-SUM(AB55:AB78,AB80:AB87)</f>
        <v>7.2882699905310711E-2</v>
      </c>
      <c r="AC79" s="376">
        <f t="shared" ref="AC79:AJ79" si="55">AC33*AC$45</f>
        <v>6.4009837195208377E-2</v>
      </c>
      <c r="AD79" s="376">
        <f t="shared" si="55"/>
        <v>0</v>
      </c>
      <c r="AE79" s="179">
        <f t="shared" si="55"/>
        <v>1.4612444748397417E-3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0.41513135686374736</v>
      </c>
      <c r="AC80" s="378">
        <f>SUM(D80:AB80,AD80:AJ80)-SUM(AC55:AC79,AC81:AC87)</f>
        <v>0.33713736711178133</v>
      </c>
      <c r="AD80" s="376">
        <f t="shared" ref="AD80:AJ80" si="57">AD34*AD$45</f>
        <v>6.5423621052789884E-5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6.5816231523629459E-5</v>
      </c>
      <c r="AD81" s="378">
        <f>SUM(D81:AC81,AE81:AJ81)-SUM(AD55:AD80,AD82:AD87)</f>
        <v>3.9261047083957517E-7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2.7032497950199691E-3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3.5964837970525656E-4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0.63868167576669288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4.3926927755000622E-2</v>
      </c>
      <c r="AG83" s="179">
        <f>AG37*AG$45</f>
        <v>1.6701724960959018E-2</v>
      </c>
      <c r="AH83" s="376">
        <f>AH37*AH$45</f>
        <v>0</v>
      </c>
      <c r="AI83" s="376">
        <f>AI37*AI$45</f>
        <v>0</v>
      </c>
      <c r="AJ83" s="380">
        <f>AJ37*AJ$45</f>
        <v>1.9276321619257416E-3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0.49169093583530948</v>
      </c>
      <c r="AG84" s="378">
        <f>SUM(D84:AF84,AH84:AJ84)-SUM(AG55:AG83,AG85:AG87)</f>
        <v>0.32856018033141676</v>
      </c>
      <c r="AH84" s="376">
        <f>AH38*AH$45</f>
        <v>2.0255648629687773E-3</v>
      </c>
      <c r="AI84" s="179">
        <f>AI38*AI$45</f>
        <v>0</v>
      </c>
      <c r="AJ84" s="380">
        <f>AJ38*AJ$45</f>
        <v>1.4717854303457842E-3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5.4425007369146954E-3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0.1396016147106055</v>
      </c>
      <c r="AH85" s="378">
        <f>SUM(D85:AG85,AI85:AJ85)-SUM(AH55:AH84,AH86:AH87)</f>
        <v>0.14301839374056546</v>
      </c>
      <c r="AI85" s="376">
        <f>AI39*AI$45</f>
        <v>2.3109734734483267E-6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2.4678174594071135E-6</v>
      </c>
      <c r="AI86" s="378">
        <f>SUM(D86:AH86,AJ86)-SUM(AI55:AI85,AI87)</f>
        <v>1.5684398595878679E-7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4.1763522378923633E-3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7.7693464562083757E-4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7.7002894569608031</v>
      </c>
      <c r="D91" s="179">
        <f t="array" ref="D91:AJ91">D5:AJ5</f>
        <v>2.5667631523202679</v>
      </c>
      <c r="E91" s="179">
        <v>0</v>
      </c>
      <c r="F91" s="179">
        <v>2.5667631523202679</v>
      </c>
      <c r="G91" s="179">
        <v>0</v>
      </c>
      <c r="H91" s="179">
        <v>0</v>
      </c>
      <c r="I91" s="179">
        <v>0</v>
      </c>
      <c r="J91" s="179">
        <v>0</v>
      </c>
      <c r="K91" s="179">
        <v>2.5667631523202679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23.568458503764226</v>
      </c>
      <c r="D92" s="179">
        <f>SUM($D$55:$AJ$55)</f>
        <v>1.3503074157401578</v>
      </c>
      <c r="E92" s="179">
        <f>SUM($D$56:$AJ$56)</f>
        <v>0.15491625573716863</v>
      </c>
      <c r="F92" s="179">
        <f>SUM($D$57:$AJ$57)</f>
        <v>-0.80121621213452343</v>
      </c>
      <c r="G92" s="179">
        <f>SUM($D$58:$AJ$58)</f>
        <v>0.32606970008777209</v>
      </c>
      <c r="H92" s="179">
        <f>SUM($D$59:$AJ$59)</f>
        <v>3.7103308435241629E-2</v>
      </c>
      <c r="I92" s="179">
        <f>SUM($D$60:$AJ$60)</f>
        <v>4.6723067689081213E-4</v>
      </c>
      <c r="J92" s="179">
        <f>SUM($D$61:$AJ$61)</f>
        <v>9.8871644421159761E-3</v>
      </c>
      <c r="K92" s="179">
        <f>SUM($D$62:$AJ$62)</f>
        <v>-1.7611383264779759</v>
      </c>
      <c r="L92" s="179">
        <f>SUM($D$63:$AJ$63)</f>
        <v>3.6619127563392506E-3</v>
      </c>
      <c r="M92" s="179">
        <f>SUM($D$64:$AJ$64)</f>
        <v>6.7726515630529533</v>
      </c>
      <c r="N92" s="179">
        <f>SUM($D$65:$AJ$65)</f>
        <v>1.6123405035271789E-2</v>
      </c>
      <c r="O92" s="179">
        <f>SUM($D$66:$AJ$66)</f>
        <v>0.11622007309507162</v>
      </c>
      <c r="P92" s="179">
        <f>SUM($D$67:$AJ$67)</f>
        <v>6.0612912193967219</v>
      </c>
      <c r="Q92" s="179">
        <f>SUM($D$68:$AJ$68)</f>
        <v>9.9532414159375551E-4</v>
      </c>
      <c r="R92" s="179">
        <f>SUM($D$69:$AJ$69)</f>
        <v>1.8143333698858559E-3</v>
      </c>
      <c r="S92" s="179">
        <f>SUM($D$70:$AJ$70)</f>
        <v>1.3524173921352401E-2</v>
      </c>
      <c r="T92" s="179">
        <f>SUM($D$71:$AJ$71)</f>
        <v>3.3581514356636179E-2</v>
      </c>
      <c r="U92" s="179">
        <f>SUM($D$72:$AJ$72)</f>
        <v>5.0089533042045912E-3</v>
      </c>
      <c r="V92" s="179">
        <f>SUM($D$73:$AJ$73)</f>
        <v>2.9620047895285642</v>
      </c>
      <c r="W92" s="179">
        <f>SUM($D$74:$AJ$74)</f>
        <v>2.8271345536990919</v>
      </c>
      <c r="X92" s="179">
        <f>SUM($D$75:$AJ$75)</f>
        <v>1.8745733127216915</v>
      </c>
      <c r="Y92" s="179">
        <f>SUM($D$76:$AJ$76)</f>
        <v>4.0006891632170057E-5</v>
      </c>
      <c r="Z92" s="179">
        <f>SUM($D$77:$AJ$77)</f>
        <v>2.7172800988743522E-2</v>
      </c>
      <c r="AA92" s="179">
        <f>SUM($D$78:$AJ$78)</f>
        <v>0.39211213976443565</v>
      </c>
      <c r="AB92" s="179">
        <f>SUM($D$79:$AJ$79)</f>
        <v>0.570681477808756</v>
      </c>
      <c r="AC92" s="179">
        <f>SUM($D$80:$AJ$80)</f>
        <v>0.75233414759658146</v>
      </c>
      <c r="AD92" s="179">
        <f>SUM($D$81:$AJ$81)</f>
        <v>6.6208841994469034E-5</v>
      </c>
      <c r="AE92" s="179">
        <f>SUM($D$82:$AJ$82)</f>
        <v>3.0628981747252257E-3</v>
      </c>
      <c r="AF92" s="179">
        <f>SUM($D$83:$AJ$83)</f>
        <v>0.70123796064457822</v>
      </c>
      <c r="AG92" s="179">
        <f>SUM($D$84:$AJ$84)</f>
        <v>0.82374846646004085</v>
      </c>
      <c r="AH92" s="179">
        <f>SUM($D$85:$AJ$85)</f>
        <v>0.2880648201615591</v>
      </c>
      <c r="AI92" s="179">
        <f>SUM($D$86:$AJ$86)</f>
        <v>2.6246614453659003E-6</v>
      </c>
      <c r="AJ92" s="380">
        <f>SUM($D$87:$AJ$87)</f>
        <v>4.9532868835132013E-3</v>
      </c>
    </row>
    <row r="93" spans="2:36" ht="12.75" customHeight="1" x14ac:dyDescent="0.2">
      <c r="B93" s="146" t="s">
        <v>1212</v>
      </c>
      <c r="C93" s="150">
        <f>SUM(D93:AJ93)</f>
        <v>23.568458503764226</v>
      </c>
      <c r="D93" s="179">
        <f t="shared" ref="D93:AJ93" si="61">SUM(D55:D87)</f>
        <v>3.8285010188911222</v>
      </c>
      <c r="E93" s="179">
        <f t="shared" si="61"/>
        <v>8.0955767731788503E-2</v>
      </c>
      <c r="F93" s="179">
        <f t="shared" si="61"/>
        <v>0.92631284593422336</v>
      </c>
      <c r="G93" s="179">
        <f t="shared" si="61"/>
        <v>0.29045234887431987</v>
      </c>
      <c r="H93" s="179">
        <f t="shared" si="61"/>
        <v>3.6043219331061971E-2</v>
      </c>
      <c r="I93" s="179">
        <f t="shared" si="61"/>
        <v>4.5398656856307723E-4</v>
      </c>
      <c r="J93" s="179">
        <f t="shared" si="61"/>
        <v>8.4702306537402568E-3</v>
      </c>
      <c r="K93" s="179">
        <f t="shared" si="61"/>
        <v>1.8822734786089423E-2</v>
      </c>
      <c r="L93" s="179">
        <f t="shared" si="61"/>
        <v>3.137122464348243E-3</v>
      </c>
      <c r="M93" s="179">
        <f t="shared" si="61"/>
        <v>6.5237900250849981</v>
      </c>
      <c r="N93" s="179">
        <f t="shared" si="61"/>
        <v>8.4257305785621246E-3</v>
      </c>
      <c r="O93" s="179">
        <f t="shared" si="61"/>
        <v>9.3706484341001484E-2</v>
      </c>
      <c r="P93" s="179">
        <f t="shared" si="61"/>
        <v>3.2915400254531999</v>
      </c>
      <c r="Q93" s="179">
        <f t="shared" si="61"/>
        <v>9.6690806885770257E-4</v>
      </c>
      <c r="R93" s="179">
        <f t="shared" si="61"/>
        <v>1.7651928027665742E-3</v>
      </c>
      <c r="S93" s="179">
        <f t="shared" si="61"/>
        <v>1.1586018740337442E-2</v>
      </c>
      <c r="T93" s="179">
        <f t="shared" si="61"/>
        <v>2.5746708311860982E-2</v>
      </c>
      <c r="U93" s="179">
        <f t="shared" si="61"/>
        <v>4.2911180519768291E-3</v>
      </c>
      <c r="V93" s="179">
        <f t="shared" si="61"/>
        <v>2.8312845806176554</v>
      </c>
      <c r="W93" s="179">
        <f t="shared" si="61"/>
        <v>2.0044337352355082</v>
      </c>
      <c r="X93" s="179">
        <f t="shared" si="61"/>
        <v>0.9575557789462904</v>
      </c>
      <c r="Y93" s="179">
        <f t="shared" si="61"/>
        <v>3.8961688548551456E-5</v>
      </c>
      <c r="Z93" s="179">
        <f t="shared" si="61"/>
        <v>2.3278655192831191E-2</v>
      </c>
      <c r="AA93" s="179">
        <f t="shared" si="61"/>
        <v>0.37941011550524362</v>
      </c>
      <c r="AB93" s="179">
        <f t="shared" si="61"/>
        <v>0.49779877790344529</v>
      </c>
      <c r="AC93" s="179">
        <f t="shared" si="61"/>
        <v>0.41519678048480013</v>
      </c>
      <c r="AD93" s="179">
        <f t="shared" si="61"/>
        <v>6.5816231523629459E-5</v>
      </c>
      <c r="AE93" s="179">
        <f t="shared" si="61"/>
        <v>2.7032497950199691E-3</v>
      </c>
      <c r="AF93" s="179">
        <f t="shared" si="61"/>
        <v>0.6573110328895776</v>
      </c>
      <c r="AG93" s="179">
        <f t="shared" si="61"/>
        <v>0.49518828612862403</v>
      </c>
      <c r="AH93" s="179">
        <f t="shared" si="61"/>
        <v>0.14504642642099366</v>
      </c>
      <c r="AI93" s="179">
        <f t="shared" si="61"/>
        <v>2.4678174594071135E-6</v>
      </c>
      <c r="AJ93" s="380">
        <f t="shared" si="61"/>
        <v>4.1763522378923633E-3</v>
      </c>
    </row>
    <row r="94" spans="2:36" ht="12.75" customHeight="1" x14ac:dyDescent="0.2">
      <c r="B94" s="152" t="s">
        <v>1211</v>
      </c>
      <c r="C94" s="150">
        <f>SUM(D94:AJ94)</f>
        <v>7.7002894569608014</v>
      </c>
      <c r="D94" s="179">
        <f>k.aR*D45</f>
        <v>8.8569549169303402E-2</v>
      </c>
      <c r="E94" s="179">
        <f>k.w0R*E45</f>
        <v>7.3960488005380159E-2</v>
      </c>
      <c r="F94" s="179">
        <f>k.w1R*F45</f>
        <v>0.83923409425152007</v>
      </c>
      <c r="G94" s="179">
        <f>k.w2R*G45</f>
        <v>3.561735121345231E-2</v>
      </c>
      <c r="H94" s="179">
        <f>k.sd1R*H45</f>
        <v>1.0600891041796616E-3</v>
      </c>
      <c r="I94" s="179">
        <f>k.sd2R*I45</f>
        <v>1.3244108327734929E-5</v>
      </c>
      <c r="J94" s="179">
        <f>k.s1R*J45</f>
        <v>1.4169337883757202E-3</v>
      </c>
      <c r="K94" s="179">
        <f>k.s2R*K45</f>
        <v>0.78680209105620191</v>
      </c>
      <c r="L94" s="179">
        <f>k.s3R*L45</f>
        <v>5.2479029199100735E-4</v>
      </c>
      <c r="M94" s="179">
        <f>k.aC*M45</f>
        <v>0.24886153796795557</v>
      </c>
      <c r="N94" s="179">
        <f>k.w0C*N45</f>
        <v>7.6976744567096656E-3</v>
      </c>
      <c r="O94" s="179">
        <f>k.w1C*O45</f>
        <v>2.2513588754070148E-2</v>
      </c>
      <c r="P94" s="179">
        <f>k.w2C*P45</f>
        <v>2.7697511939435242</v>
      </c>
      <c r="Q94" s="179">
        <f>k.sd1C*Q45</f>
        <v>2.8416072736053045E-5</v>
      </c>
      <c r="R94" s="179">
        <f>k.sd2C*R45</f>
        <v>4.9140567119281658E-5</v>
      </c>
      <c r="S94" s="179">
        <f>k.s1C*S45</f>
        <v>1.9381551810149617E-3</v>
      </c>
      <c r="T94" s="179">
        <f>k.s2C*T45</f>
        <v>7.8348060447751919E-3</v>
      </c>
      <c r="U94" s="179">
        <f>k.s3C*U45</f>
        <v>7.1783525222776342E-4</v>
      </c>
      <c r="V94" s="179">
        <f>k.aM*V45</f>
        <v>0.13072020891090799</v>
      </c>
      <c r="W94" s="179">
        <f>k.w2M*W45</f>
        <v>0.82270081846358334</v>
      </c>
      <c r="X94" s="179">
        <f>k.w3M*X45</f>
        <v>0.91701753377540118</v>
      </c>
      <c r="Y94" s="179">
        <f>k.sdM*Y45</f>
        <v>1.0452030836185912E-6</v>
      </c>
      <c r="Z94" s="179">
        <f>k.sM*Z45</f>
        <v>3.8941457959123385E-3</v>
      </c>
      <c r="AA94" s="179">
        <f>k.aA*AA45</f>
        <v>1.2702024259192091E-2</v>
      </c>
      <c r="AB94" s="179">
        <f>k.w2A*AB45</f>
        <v>7.2882699905310752E-2</v>
      </c>
      <c r="AC94" s="179">
        <f>k.w3A*AC45</f>
        <v>0.33713736711178133</v>
      </c>
      <c r="AD94" s="179">
        <f>k.sdA*AD45</f>
        <v>3.9261047083958089E-7</v>
      </c>
      <c r="AE94" s="179">
        <f>k.sA*AE45</f>
        <v>3.5964837970525694E-4</v>
      </c>
      <c r="AF94" s="179">
        <f>k.aT*AF45</f>
        <v>4.3926927755000622E-2</v>
      </c>
      <c r="AG94" s="179">
        <f>k.w2T*AG45</f>
        <v>0.32856018033141687</v>
      </c>
      <c r="AH94" s="179">
        <f>k.w3T*AH45</f>
        <v>0.14301839374056544</v>
      </c>
      <c r="AI94" s="179">
        <f>k.sdT*AI45</f>
        <v>1.5684398595878695E-7</v>
      </c>
      <c r="AJ94" s="374">
        <f>k.sT*AJ45</f>
        <v>7.7693464562083865E-4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2636.5972100362992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172.88430458598125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102136.51854921132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27.5047782359641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701371.84501708369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1066789.0517010256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2454801.4575597928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4.1374108555642806E-9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4.4273663745099793E-9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4.4273663745099793E-9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4.4273663745099793E-9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5.8450002622007499E-9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2489.3102075698121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163.22654916583434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96429.914040719697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25.968022394704548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662184.57106496522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1007185.0697118276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2317645.998727378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9.8099225222807957E-6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1.0178907934921709E-9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1.5657286648929017E-10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5.9837753994234299E-11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5.9837753994234299E-11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5.9837753994234299E-11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4.2537214215868346E-11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1.3134916485265744E-7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3.4614049917583579E-8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3.4614049917583579E-8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1.7313509702833897E-8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0.99999984342713344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0.99999994016224591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0.99999994016224591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0.99999994016224591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0.9999999574627858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0.60849019486851674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0.60849019486851674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0.60849019486851674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0.60849019486851674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0.60849019486851674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0.60849019486851674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0.60859152814565642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0.60849019486851674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0.60835275922472343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0.39128372138866402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0.39128372138866402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0.39128372138866402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0.39128372138866402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0.39128372138866402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0.39128372138866402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0.39134888277025087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0.39128372138866402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0.39119534473016004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0.99999840246142258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0.99999840246142258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0.99998336998154524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0.99998336998154524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0.99999373716068052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0.99999373716068052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0.99999373716068052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0.99999373716068052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0.99999373716068052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0.99999373716068052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0.99999373716068052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0.99999373716068052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133643425.17058821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106286223316.43573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8946354.7870557457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19880788.415679432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3313464.7359465715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27369723.34062697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301066956.74689662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11662612667.28451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368676372.77638096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121812919457.34605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586621.39216869709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1303603.0937082155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217267.18228470261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1794660.0142195586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19741260.156415146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3140674.654100819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446954662.34116399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210053635589.65454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50051.364059629959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1.1251596123782846E-7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1.3447081041926115E-7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1.3447081041926115E-7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1.3447081041926115E-7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1.4941381954176272E-7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1.1029482560172427E-7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2.7594363568999227E-7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1.1029482560172427E-7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2.7594363568999227E-7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1.0928170020462471E-7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1.2556931974495031E-7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1.0928170020462471E-7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1.2556931974495031E-7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1.1029482560172427E-7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2.7594363568999227E-7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1.1029482560172427E-7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2.7594363568999227E-7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2.4263774641205674E-8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9.8583251403148694E-8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2.6998124566933754E-8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2.7019264428164435E-8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2.5037229505113528E-8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2.6237229505113529E-8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5.2523818364423664E-9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2.412688010609485E-8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5.9402113986132252E-8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1.1029482560172427E-7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2.7594363568999227E-7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2.7045189144606642E-7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5.1233029146448452E-7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2.1721047801175034E-7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2.1721047801175034E-7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2.1720721279439419E-7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2.1720721279439419E-7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4.727295545280204E-8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2.1720946465792724E-7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2.1720946465792724E-7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2.1720946465792724E-7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5.3483243787849438E-7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4.727295545280204E-8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2.1720946465792724E-7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5.3483243787849438E-7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1261.185279299031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1261.185279299031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1261.185279299031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1261.185279299031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1261.185279299031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6567.4592709187964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1730.7025994405353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1730.7025994405353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1730.7025994405353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865.67552196512008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1.5226588529114679E-4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5.7780002198139571E-4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5.7780002198139571E-4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5.7780002198139571E-4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1.1551672360215958E-3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1.1214963535600032E-7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1.3410448453743301E-7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1.3410448453743301E-7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1.3410448453743301E-7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1.4904749365993458E-7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1.0843569491355744E-7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1.0843569491355744E-7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1.0843569491355744E-7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1.0843569491355744E-7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1.0843569491355744E-7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1.0843569491355744E-7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2.3599688822101025E-8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2.4123896171780196E-8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2.4123896171780196E-8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2.4123896171780196E-8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2.4123896171780196E-8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5.2502678503101158E-9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2.4123896171780196E-8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5.9400000000000003E-8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1.0843569491355744E-7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2.67E-7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2.1721047801175034E-7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2.1721047801175034E-7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2.1720721279439419E-7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2.1720721279439419E-7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4.727295545280204E-8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2.1720946465792724E-7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2.1720946465792724E-7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2.1720946465792724E-7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5.3483243787849438E-7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4.727295545280204E-8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2.1720946465792724E-7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5.3483243787849438E-7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1.0791703060733229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1.0791703060733229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1.0791703060733229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1.0791703060733229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1.0791703060733229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1.0791703060733229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0.2073483294795187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0.2073483294795187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0.2073483294795187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0.2073483294795187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0.2073483294795187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0.2073483294795187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0.2073483294795187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0.51837082369879672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0.51837082369879672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0.51837082369879672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0.51837082369879672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0.51837082369879672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0.51837082369879672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0.51837082369879672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0.2073483294795187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0.2073483294795187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1.0367416473975934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1.0367416473975934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1.0367416473975934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1.0367416473975934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1.0367416473975934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1.0367416473975934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1.0367416473975934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1.0367416473975934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1.0367416473975934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1.0367416473975934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1.0367416473975934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1.0367416473975934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0.51113805422367431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0.51113805422367431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0.51113805422367431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0.51113805422367431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0.51113805422367431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0.51113805422367431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1.0591854118493984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1.0591854118493984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1.0591854118493984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1.0591854118493984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1.0591854118493984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1.0591854118493984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1.0591854118493984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0.51105294739633633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0.51113805422367431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0.51125352766648247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87.48853359353285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5.7367102688229528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353.88469005766859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23.204571525509287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32.403160590197345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2.1247075069714638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564.47294623895141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3605.3740313828289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6601.7423906020322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2.3599688822101026E-9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1.0843569491355745E-8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1.0843569491355745E-8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1.0843569491355745E-8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2.6700000000000001E-8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4.7206657788522203E-3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4.7206657788522203E-3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4.7206657788522203E-3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4.7206657788522203E-3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4.7206657788522203E-3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5.4218710899516866E-6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5.4218710899516866E-6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5.4218710899516866E-6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5.4218710899516866E-6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5.4218710899516866E-6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12.600118490578565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73.749285813150166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73.749285813150166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73.749285813150166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185.33333328699999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12985.58740095364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851.4778969304308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52525.746904768523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3444.165529692395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4809.4768151680137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315.36218404830765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83795.763692676395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535131.83584907034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979831.68242582679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43.134124838880084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2.8283475186534148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556.97666231058724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0.14999061841019112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3824.7607694598692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5817.4746295041177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13386.662693109543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12851.226822395969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842.66773999811983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51982.268236812364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3408.5290922383701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4759.7136379244312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312.09916296226658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50599.181006136918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529594.88008039794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1283308.7115654387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15814.202430288036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1036.9530011391619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173953.61173551294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11406.311544530497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16183667.065127421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6738616.0556097664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70383070.951038957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1814.6706277006238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242645568.30219668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2024-08-13T10:54:15Z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