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filterPrivacy="1" showInkAnnotation="0" codeName="ThisWorkbook"/>
  <xr:revisionPtr revIDLastSave="0" documentId="13_ncr:1_{725EE899-5886-4F44-917F-F0586B1DCC16}" xr6:coauthVersionLast="47" xr6:coauthVersionMax="47" xr10:uidLastSave="{00000000-0000-0000-0000-000000000000}"/>
  <bookViews>
    <workbookView xWindow="-110" yWindow="-110" windowWidth="19420" windowHeight="11620" tabRatio="846" activeTab="6"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61" i="10" l="1"/>
  <c r="K382" i="8"/>
  <c r="K481" i="10" l="1"/>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5" i="10"/>
  <c r="K523"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82" i="8"/>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K846" i="10"/>
  <c r="L846" i="10" s="1"/>
  <c r="L524" i="10"/>
  <c r="K51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35" i="10" s="1"/>
  <c r="L535" i="10" s="1"/>
  <c r="K532" i="10" s="1"/>
  <c r="L532" i="10" s="1"/>
  <c r="K540" i="10"/>
  <c r="L540"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<sst xmlns="http://schemas.openxmlformats.org/spreadsheetml/2006/main" count="26933" uniqueCount="4777">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</sst>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ill>
        <patternFill>
          <bgColor rgb="FFFF0000"/>
        </patternFill>
      </fill>
    </dxf>
    <dxf>
      <font>
        <color rgb="FFCC00CC"/>
      </font>
    </dxf>
    <dxf>
      <font>
        <color rgb="FF008000"/>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32007078.632551294</c:v>
                </c:pt>
                <c:pt idx="1">
                  <c:v>295894.66127216263</c:v>
                </c:pt>
                <c:pt idx="2">
                  <c:v>4464.435757618945</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91.099896920522426</c:v>
                </c:pt>
                <c:pt idx="1">
                  <c:v>0.30493376360796359</c:v>
                </c:pt>
                <c:pt idx="2">
                  <c:v>7.1895628755484556E-5</c:v>
                </c:pt>
                <c:pt idx="3">
                  <c:v>1.1228329191624505E-2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3632.7996129509302</c:v>
                </c:pt>
                <c:pt idx="1">
                  <c:v>19328.94147073866</c:v>
                </c:pt>
                <c:pt idx="2">
                  <c:v>25813553.58726979</c:v>
                </c:pt>
                <c:pt idx="3">
                  <c:v>6142401.3785668416</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7.3167074375139469E-4</c:v>
                </c:pt>
                <c:pt idx="1">
                  <c:v>8.5563395159660356</c:v>
                </c:pt>
                <c:pt idx="2">
                  <c:v>20891.533876805319</c:v>
                </c:pt>
                <c:pt idx="3">
                  <c:v>7170.4185520758465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91.099896920522426</c:v>
                </c:pt>
                <c:pt idx="1">
                  <c:v>0.30493376360796359</c:v>
                </c:pt>
                <c:pt idx="2">
                  <c:v>7.1895628755484556E-5</c:v>
                </c:pt>
                <c:pt idx="3">
                  <c:v>1.1228329191624505E-2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3632.7996129509302</c:v>
                </c:pt>
                <c:pt idx="1">
                  <c:v>19328.94147073866</c:v>
                </c:pt>
                <c:pt idx="2">
                  <c:v>25813553.58726979</c:v>
                </c:pt>
                <c:pt idx="3">
                  <c:v>6142401.3785668416</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7.3167074375139469E-4</c:v>
                </c:pt>
                <c:pt idx="1">
                  <c:v>8.5563395159660356</c:v>
                </c:pt>
                <c:pt idx="2">
                  <c:v>20891.533876805319</c:v>
                </c:pt>
                <c:pt idx="3">
                  <c:v>7170.4185520758465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102.81494347100679</c:v>
                </c:pt>
                <c:pt idx="1">
                  <c:v>2834.8978660854555</c:v>
                </c:pt>
                <c:pt idx="2">
                  <c:v>256891.27166037963</c:v>
                </c:pt>
                <c:pt idx="3">
                  <c:v>36064.448676319866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9.042606117793272E-5</c:v>
                </c:pt>
                <c:pt idx="1">
                  <c:v>1.8396508204936417E-2</c:v>
                </c:pt>
                <c:pt idx="2">
                  <c:v>1.0395836648921308</c:v>
                </c:pt>
                <c:pt idx="3">
                  <c:v>0.11028393465211841</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5.7516833705821809E-6</c:v>
                </c:pt>
                <c:pt idx="1">
                  <c:v>6.4494407828688468E-10</c:v>
                </c:pt>
                <c:pt idx="2">
                  <c:v>1.8204672573390672E-21</c:v>
                </c:pt>
                <c:pt idx="3">
                  <c:v>8.2497868624194694E-12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0.41884023497461897</c:v>
                </c:pt>
                <c:pt idx="1">
                  <c:v>947.32644987409526</c:v>
                </c:pt>
                <c:pt idx="2">
                  <c:v>3414.0702507578212</c:v>
                </c:pt>
                <c:pt idx="3">
                  <c:v>102.59637397012979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1.6709365528065683E-6</c:v>
                </c:pt>
                <c:pt idx="1">
                  <c:v>4.8958968276073588E-3</c:v>
                </c:pt>
                <c:pt idx="2">
                  <c:v>1.7786584039181267E-2</c:v>
                </c:pt>
                <c:pt idx="3">
                  <c:v>1.1528777845306792E-3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102.81494347100679</c:v>
                </c:pt>
                <c:pt idx="1">
                  <c:v>2834.8978660854555</c:v>
                </c:pt>
                <c:pt idx="2">
                  <c:v>256891.27166037963</c:v>
                </c:pt>
                <c:pt idx="3">
                  <c:v>36064.448676319866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9.042606117793272E-5</c:v>
                </c:pt>
                <c:pt idx="1">
                  <c:v>1.8396508204936417E-2</c:v>
                </c:pt>
                <c:pt idx="2">
                  <c:v>1.0395836648921308</c:v>
                </c:pt>
                <c:pt idx="3">
                  <c:v>0.11028393465211841</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5.7516833705821809E-6</c:v>
                </c:pt>
                <c:pt idx="1">
                  <c:v>6.4494407828688468E-10</c:v>
                </c:pt>
                <c:pt idx="2">
                  <c:v>1.8204672573390672E-21</c:v>
                </c:pt>
                <c:pt idx="3">
                  <c:v>8.2497868624194694E-12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0.41884023497461897</c:v>
                </c:pt>
                <c:pt idx="1">
                  <c:v>947.32644987409526</c:v>
                </c:pt>
                <c:pt idx="2">
                  <c:v>3414.0702507578212</c:v>
                </c:pt>
                <c:pt idx="3">
                  <c:v>102.59637397012979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1.6709365528065683E-6</c:v>
                </c:pt>
                <c:pt idx="1">
                  <c:v>4.8958968276073588E-3</c:v>
                </c:pt>
                <c:pt idx="2">
                  <c:v>1.7786584039181267E-2</c:v>
                </c:pt>
                <c:pt idx="3">
                  <c:v>1.1528777845306792E-3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3723.9002415421965</c:v>
                </c:pt>
                <c:pt idx="1">
                  <c:v>102.87479819882026</c:v>
                </c:pt>
                <c:pt idx="2" formatCode="0.00E+00">
                  <c:v>0.41884765759454234</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19337.802744018234</c:v>
                </c:pt>
                <c:pt idx="1">
                  <c:v>2834.9162695841751</c:v>
                </c:pt>
                <c:pt idx="2">
                  <c:v>947.33134577156773</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25834445.121218491</c:v>
                </c:pt>
                <c:pt idx="1">
                  <c:v>256892.31124404457</c:v>
                </c:pt>
                <c:pt idx="2">
                  <c:v>3414.0880373418599</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6149571.8083472457</c:v>
                </c:pt>
                <c:pt idx="1">
                  <c:v>36064.558960335045</c:v>
                </c:pt>
                <c:pt idx="2">
                  <c:v>102.59752684792257</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91.416130908950763</c:v>
                </c:pt>
                <c:pt idx="1">
                  <c:v>5.9771372830474269E-2</c:v>
                </c:pt>
                <c:pt idx="2">
                  <c:v>5.7523365644473317E-6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31978916.706920318</c:v>
                </c:pt>
                <c:pt idx="1">
                  <c:v>295893.43314625602</c:v>
                </c:pt>
                <c:pt idx="2">
                  <c:v>4464.411914837021</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28070.509500067878</c:v>
                </c:pt>
                <c:pt idx="1">
                  <c:v>1.1683545338103634</c:v>
                </c:pt>
                <c:pt idx="2">
                  <c:v>2.3837029587872111E-2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91.416130908950763</c:v>
                </c:pt>
                <c:pt idx="1">
                  <c:v>5.9771372830474269E-2</c:v>
                </c:pt>
                <c:pt idx="2">
                  <c:v>5.7523365644473317E-6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31978916.706920318</c:v>
                </c:pt>
                <c:pt idx="1">
                  <c:v>295893.43314625602</c:v>
                </c:pt>
                <c:pt idx="2">
                  <c:v>4464.411914837021</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28070.509500067878</c:v>
                </c:pt>
                <c:pt idx="1">
                  <c:v>1.1683545338103634</c:v>
                </c:pt>
                <c:pt idx="2">
                  <c:v>2.3837029587872111E-2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3723.9002415421965</c:v>
                </c:pt>
                <c:pt idx="1">
                  <c:v>19337.802744018234</c:v>
                </c:pt>
                <c:pt idx="2">
                  <c:v>25834445.121218491</c:v>
                </c:pt>
                <c:pt idx="3">
                  <c:v>6149571.8083472457</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102.87479819882026</c:v>
                </c:pt>
                <c:pt idx="1">
                  <c:v>2834.9162695841751</c:v>
                </c:pt>
                <c:pt idx="2">
                  <c:v>256892.31124404457</c:v>
                </c:pt>
                <c:pt idx="3">
                  <c:v>36064.558960335045</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0.41884765759454234</c:v>
                </c:pt>
                <c:pt idx="1">
                  <c:v>947.33134577156773</c:v>
                </c:pt>
                <c:pt idx="2">
                  <c:v>3414.0880373418599</c:v>
                </c:pt>
                <c:pt idx="3">
                  <c:v>102.59752684792257</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91.416130908950763</c:v>
                </c:pt>
                <c:pt idx="1">
                  <c:v>31978916.706920318</c:v>
                </c:pt>
                <c:pt idx="2">
                  <c:v>28070.509500067878</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5.9771372830474269E-2</c:v>
                </c:pt>
                <c:pt idx="1">
                  <c:v>295893.43314625602</c:v>
                </c:pt>
                <c:pt idx="2">
                  <c:v>1.1683545338103634</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5.7523365644473317E-6</c:v>
                </c:pt>
                <c:pt idx="1">
                  <c:v>4464.411914837021</c:v>
                </c:pt>
                <c:pt idx="2">
                  <c:v>2.3837029587872111E-2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91.099896920522426</c:v>
                </c:pt>
                <c:pt idx="1">
                  <c:v>3632.7996129509302</c:v>
                </c:pt>
                <c:pt idx="2">
                  <c:v>7.3167074375139469E-4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0.30493376360796359</c:v>
                </c:pt>
                <c:pt idx="1">
                  <c:v>19328.94147073866</c:v>
                </c:pt>
                <c:pt idx="2">
                  <c:v>8.5563395159660356</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7.1895628755484556E-5</c:v>
                </c:pt>
                <c:pt idx="1">
                  <c:v>25813553.58726979</c:v>
                </c:pt>
                <c:pt idx="2">
                  <c:v>20891.533876805319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1.1228329191624505E-2</c:v>
                </c:pt>
                <c:pt idx="1">
                  <c:v>6142401.3785668416</c:v>
                </c:pt>
                <c:pt idx="2">
                  <c:v>7170.4185520758465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5.7516833705821809E-6</c:v>
                </c:pt>
                <c:pt idx="1">
                  <c:v>0.41884023497461897</c:v>
                </c:pt>
                <c:pt idx="2">
                  <c:v>1.6709365528065683E-6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6.4494407828688468E-10</c:v>
                </c:pt>
                <c:pt idx="1">
                  <c:v>947.32644987409526</c:v>
                </c:pt>
                <c:pt idx="2">
                  <c:v>4.8958968276073588E-3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1.8204672573390672E-21</c:v>
                </c:pt>
                <c:pt idx="1">
                  <c:v>3414.0702507578212</c:v>
                </c:pt>
                <c:pt idx="2">
                  <c:v>1.7786584039181267E-2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8.2497868624194694E-12</c:v>
                </c:pt>
                <c:pt idx="1">
                  <c:v>102.59637397012979</c:v>
                </c:pt>
                <c:pt idx="2">
                  <c:v>1.1528777845306792E-3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5.97643017522929E-2</c:v>
                </c:pt>
                <c:pt idx="1">
                  <c:v>102.81494347100679</c:v>
                </c:pt>
                <c:pt idx="2">
                  <c:v>9.042606117793272E-5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6.9905151866510033E-6</c:v>
                </c:pt>
                <c:pt idx="1">
                  <c:v>2834.8978660854555</c:v>
                </c:pt>
                <c:pt idx="2">
                  <c:v>1.8396508204936417E-2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3.9521232624469615E-11</c:v>
                </c:pt>
                <c:pt idx="1">
                  <c:v>256891.27166037963</c:v>
                </c:pt>
                <c:pt idx="2">
                  <c:v>1.0395836648921308</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8.0523473475185743E-8</c:v>
                </c:pt>
                <c:pt idx="1">
                  <c:v>36064.448676319866</c:v>
                </c:pt>
                <c:pt idx="2">
                  <c:v>0.11028393465211841</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4377.7653959584959</c:v>
                </c:pt>
                <c:pt idx="1">
                  <c:v>41.321331149082603</c:v>
                </c:pt>
                <c:pt idx="2">
                  <c:v>45.349030511366401</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0629" y="192368"/>
          <a:ext cx="2549339" cy="770217"/>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432125" y="7108825"/>
          <a:ext cx="307975" cy="1746250"/>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403550" y="16773525"/>
          <a:ext cx="314325" cy="1746250"/>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74975" y="25673050"/>
          <a:ext cx="314325" cy="171767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59150" y="787400"/>
          <a:ext cx="10487025" cy="588010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59150" y="10312400"/>
          <a:ext cx="10487025" cy="588010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603575" y="19900900"/>
          <a:ext cx="3667125" cy="51911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80275" y="19900900"/>
          <a:ext cx="3667125" cy="51911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756975" y="19900900"/>
          <a:ext cx="3724275" cy="51911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microplastic</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45488</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45">
      <c r="A5" s="17"/>
      <c r="B5" s="21" t="s">
        <v>85</v>
      </c>
      <c r="C5" s="918"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microplastic</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3723.9002415421965</v>
      </c>
      <c r="D11" s="446">
        <f t="shared" ref="D11:D17" si="0">C11/$C$103</f>
        <v>1.1634614593519881E-4</v>
      </c>
      <c r="E11" s="453">
        <f>SUM(E12,E15:E17)</f>
        <v>102.87479819882026</v>
      </c>
      <c r="F11" s="446">
        <f t="shared" ref="F11:F17" si="1">E11/$E$103</f>
        <v>3.4767372198106836E-4</v>
      </c>
      <c r="G11" s="445">
        <f>SUM(G12,G15:G17)</f>
        <v>0.4174015182055596</v>
      </c>
      <c r="H11" s="446">
        <f t="shared" ref="H11:H17" si="2">G11/$G$103</f>
        <v>9.5345794132983917E-5</v>
      </c>
      <c r="I11" s="445">
        <f>SUM(I12,I15:I17)</f>
        <v>9.3052833745445426E-4</v>
      </c>
      <c r="J11" s="446">
        <f t="shared" ref="J11:J17" si="3">I11/$I$103</f>
        <v>2.2519321415305215E-5</v>
      </c>
      <c r="K11" s="445">
        <f>SUM(K12,K15:K17)</f>
        <v>5.156110515283105E-4</v>
      </c>
      <c r="L11" s="461">
        <f t="shared" ref="L11:L17" si="4">K11/$K$103</f>
        <v>1.1369836261418563E-5</v>
      </c>
      <c r="M11" s="459">
        <f xml:space="preserve"> (M.aRG+M.aRS+M.aRA+M.aRP+M.cwRS+M.cwRA+M.cwRP)*(Molweight*1000)/(VOLUME.aR+VOLUME.cwR)</f>
        <v>1.6221197201474632E-8</v>
      </c>
      <c r="N11" s="459">
        <f xml:space="preserve"> (M.aCG+M.aCS+M.aCA+M.aCP+M.cwCS+M.cwCA+M.cwCP)*Molweight*1000/(VOLUME.aC+VOLUME.cwC)</f>
        <v>1.4289654922225165E-11</v>
      </c>
      <c r="O11" s="459">
        <f xml:space="preserve"> (M.aMG+M.aMS+M.aMA+M.aMP+M.cwMS+M.cwMA+M.cwMP)*Molweight*1000/(VOLUME.aM+VOLUME.cwM)</f>
        <v>5.3808839598108099E-15</v>
      </c>
      <c r="P11" s="459">
        <f xml:space="preserve"> (M.aAG+M.aAS+M.aAA+M.aAP+M.cwAS+M.cwAA+M.cwAP)*Molweight*1000/(VOLUME.aA+VOLUME.cwA)</f>
        <v>2.1894784410695014E-17</v>
      </c>
      <c r="Q11" s="459">
        <f xml:space="preserve"> (M.aTG+M.aTS+M.aTA+M.aTP+M.cwTS+M.cwTA+M.cwTP)*Molweight*1000/(VOLUME.aT+VOLUME.cwT)</f>
        <v>4.0440082472812298E-18</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5">
      <c r="A15" s="17"/>
      <c r="B15" s="159" t="s">
        <v>147</v>
      </c>
      <c r="C15" s="295">
        <f>(M.aRS+M.cwRS)*Molweight</f>
        <v>91.099896920522426</v>
      </c>
      <c r="D15" s="446">
        <f t="shared" si="0"/>
        <v>2.8462421693141831E-6</v>
      </c>
      <c r="E15" s="296">
        <f>(M.aCS+M.cwCS)*Molweight</f>
        <v>5.97643017522929E-2</v>
      </c>
      <c r="F15" s="446">
        <f t="shared" si="1"/>
        <v>2.0197830368193752E-7</v>
      </c>
      <c r="G15" s="296">
        <f>(M.aMS+M.cwMS)*Molweight</f>
        <v>5.7512486499657868E-6</v>
      </c>
      <c r="H15" s="446">
        <f t="shared" si="2"/>
        <v>1.313740716959222E-9</v>
      </c>
      <c r="I15" s="296">
        <f>(M.aAS+M.cwAS)*Molweight</f>
        <v>2.2158514544237285E-10</v>
      </c>
      <c r="J15" s="446">
        <f t="shared" si="3"/>
        <v>5.3624880728774002E-12</v>
      </c>
      <c r="K15" s="296">
        <f>(M.aTS+M.cwTS)*Molweight</f>
        <v>2.1313547095179778E-10</v>
      </c>
      <c r="L15" s="461">
        <f t="shared" si="4"/>
        <v>4.6998903515341295E-12</v>
      </c>
      <c r="M15" s="124">
        <f>(M.aRS+M.cwRS)*(Molweight*1000)/(VOLUME.aR + VOLUME.cwR)</f>
        <v>3.9682840493326932E-10</v>
      </c>
      <c r="N15" s="124">
        <f>(M.aCS+M.cwCS)*(Molweight*1000)/(VOLUME.aC + VOLUME.cwC)</f>
        <v>8.3014622012429468E-15</v>
      </c>
      <c r="O15" s="124">
        <f>(M.aMS+M.cwMS)*(Molweight*1000)/(VOLUME.aM + VOLUME.cwM)</f>
        <v>7.4141564560011908E-20</v>
      </c>
      <c r="P15" s="124">
        <f>(M.aAS+M.cwAS)*(Molweight*1000)/(VOLUME.aA + VOLUME.cwA)</f>
        <v>5.2137681280563012E-24</v>
      </c>
      <c r="Q15" s="124">
        <f>(M.aTS+M.cwTS)*(Molweight*1000)/(VOLUME.aT + VOLUME.cwT)</f>
        <v>1.6716507525632702E-24</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150</v>
      </c>
      <c r="C16" s="295">
        <f>(M.aRA+M.cwRA)*Molweight</f>
        <v>3632.7996129509302</v>
      </c>
      <c r="D16" s="446">
        <f t="shared" si="0"/>
        <v>1.134998809062306E-4</v>
      </c>
      <c r="E16" s="296">
        <f>(M.aCA+M.cwCA)*Molweight</f>
        <v>102.81494347100679</v>
      </c>
      <c r="F16" s="446">
        <f t="shared" si="1"/>
        <v>3.4747143807518054E-4</v>
      </c>
      <c r="G16" s="296">
        <f>(M.aMA+M.cwMA)*Molweight</f>
        <v>0.4173941259261495</v>
      </c>
      <c r="H16" s="446">
        <f t="shared" si="2"/>
        <v>9.5344105536464578E-5</v>
      </c>
      <c r="I16" s="296">
        <f>(M.aAA+M.cwAA)*Molweight</f>
        <v>9.3050597734517005E-4</v>
      </c>
      <c r="J16" s="446">
        <f t="shared" si="3"/>
        <v>2.2518780287789172E-5</v>
      </c>
      <c r="K16" s="296">
        <f>(M.aTA+M.cwTA)*Molweight</f>
        <v>5.1560307112428106E-4</v>
      </c>
      <c r="L16" s="461">
        <f t="shared" si="4"/>
        <v>1.1369660284028541E-5</v>
      </c>
      <c r="M16" s="124">
        <f>(M.aRA+M.cwRA)*(Molweight*1000)/(VOLUME.aR + VOLUME.cwR)</f>
        <v>1.582436560940566E-8</v>
      </c>
      <c r="N16" s="124">
        <f>(M.aCA+M.cwCA)*(Molweight*1000)/(VOLUME.aC + VOLUME.cwC)</f>
        <v>1.4281340899540375E-11</v>
      </c>
      <c r="O16" s="124">
        <f>(M.aMA+M.cwMA)*(Molweight*1000)/(VOLUME.aM + VOLUME.cwM)</f>
        <v>5.3807886630857886E-15</v>
      </c>
      <c r="P16" s="124">
        <f>(M.aAA+M.cwAA)*(Molweight*1000)/(VOLUME.aA + VOLUME.cwA)</f>
        <v>2.1894258290476561E-17</v>
      </c>
      <c r="Q16" s="124">
        <f>(M.aTA+M.cwTA)*(Molweight*1000)/(VOLUME.aT + VOLUME.cwT)</f>
        <v>4.0439456558770782E-18</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152</v>
      </c>
      <c r="C17" s="295">
        <f>(M.aRP+M.cwRP)*Molweight</f>
        <v>7.3167074375139469E-4</v>
      </c>
      <c r="D17" s="446">
        <f t="shared" si="0"/>
        <v>2.2859654020635403E-11</v>
      </c>
      <c r="E17" s="296">
        <f>(M.aCP+M.cwCP)*Molweight</f>
        <v>9.042606117793272E-5</v>
      </c>
      <c r="F17" s="446">
        <f t="shared" si="1"/>
        <v>3.056022058294564E-10</v>
      </c>
      <c r="G17" s="296">
        <f>(M.aMP+M.cwMP)*Molweight</f>
        <v>1.6410307601092863E-6</v>
      </c>
      <c r="H17" s="446">
        <f t="shared" si="2"/>
        <v>3.7485580237448713E-10</v>
      </c>
      <c r="I17" s="296">
        <f>(M.aAP+M.cwAP)*Molweight</f>
        <v>2.2138524138842925E-8</v>
      </c>
      <c r="J17" s="446">
        <f t="shared" si="3"/>
        <v>5.3576502796992868E-10</v>
      </c>
      <c r="K17" s="296">
        <f>(M.aTP+M.cwTP)*Molweight</f>
        <v>7.7672685584391346E-9</v>
      </c>
      <c r="L17" s="461">
        <f t="shared" si="4"/>
        <v>1.7127749966986232E-10</v>
      </c>
      <c r="M17" s="124">
        <f>(M.aRP+M.cwRP)*(Molweight*1000)/(VOLUME.aR + VOLUME.cwR)</f>
        <v>3.187135704802285E-15</v>
      </c>
      <c r="N17" s="124">
        <f>(M.aCP+M.cwCP)*(Molweight*1000)/(VOLUME.aC + VOLUME.cwC)</f>
        <v>1.2560483547305742E-17</v>
      </c>
      <c r="O17" s="124">
        <f>(M.aMP+M.cwMP)*(Molweight*1000)/(VOLUME.aM + VOLUME.cwM)</f>
        <v>2.1155160461777607E-20</v>
      </c>
      <c r="P17" s="124">
        <f>(M.aAP+M.cwAP)*(Molweight*1000)/(VOLUME.aA + VOLUME.cwA)</f>
        <v>5.2090645032576278E-22</v>
      </c>
      <c r="Q17" s="124">
        <f>(M.aTP+M.cwTP)*(Molweight*1000)/(VOLUME.aT + VOLUME.cwT)</f>
        <v>6.0919753399528108E-23</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9170.526144242891</v>
      </c>
      <c r="D19" s="446">
        <f t="shared" ref="D19:D25" si="5">C19/$C$103</f>
        <v>2.8651556268295095E-4</v>
      </c>
      <c r="E19" s="295">
        <f>SUM(E20,E23:E25)</f>
        <v>63.127512020667737</v>
      </c>
      <c r="F19" s="446">
        <f t="shared" ref="F19:F25" si="6">E19/$E$103</f>
        <v>2.1334454548540611E-4</v>
      </c>
      <c r="G19" s="296"/>
      <c r="H19" s="446"/>
      <c r="I19" s="296"/>
      <c r="J19" s="446"/>
      <c r="K19" s="296"/>
      <c r="L19" s="461"/>
      <c r="M19" s="459">
        <f>(M.w0RD+M.w0RS+M.w0RA+M.w0RP)*Molweight/(VOLUME.w0R)</f>
        <v>1.6048521055681658E-7</v>
      </c>
      <c r="N19" s="459">
        <f>(M.w0CD+M.w0CS+M.w0CA+M.w0CP)*Molweight/(VOLUME.w0C)</f>
        <v>7.2438794690138084E-11</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6.3430408690440723E-5</v>
      </c>
      <c r="D23" s="446">
        <f t="shared" si="5"/>
        <v>1.9817618914439698E-12</v>
      </c>
      <c r="E23" s="295">
        <f>M.w0CS*Molweight</f>
        <v>2.0236538028723883E-8</v>
      </c>
      <c r="F23" s="446">
        <f t="shared" si="6"/>
        <v>6.8391021121230716E-14</v>
      </c>
      <c r="G23" s="296"/>
      <c r="H23" s="446"/>
      <c r="I23" s="296"/>
      <c r="J23" s="446"/>
      <c r="K23" s="296"/>
      <c r="L23" s="461"/>
      <c r="M23" s="124">
        <f>C.w0RS*Molweight</f>
        <v>1.1100390898270241E-15</v>
      </c>
      <c r="N23" s="124">
        <f>C.w0CS*Molweight</f>
        <v>2.3221419260463914E-20</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4">
      <c r="A24" s="17"/>
      <c r="B24" s="159" t="s">
        <v>150</v>
      </c>
      <c r="C24" s="295">
        <f>M.w0RA*Molweight</f>
        <v>9170.5242107215236</v>
      </c>
      <c r="D24" s="446">
        <f t="shared" si="5"/>
        <v>2.8651550227377118E-4</v>
      </c>
      <c r="E24" s="295">
        <f>M.w0CA*Molweight</f>
        <v>63.127510897522974</v>
      </c>
      <c r="F24" s="446">
        <f t="shared" si="6"/>
        <v>2.1334454168964732E-4</v>
      </c>
      <c r="G24" s="296"/>
      <c r="H24" s="446"/>
      <c r="I24" s="296"/>
      <c r="J24" s="446"/>
      <c r="K24" s="296"/>
      <c r="L24" s="461"/>
      <c r="M24" s="124">
        <f>C.w0RA*Molweight</f>
        <v>1.6048517671998118E-7</v>
      </c>
      <c r="N24" s="124">
        <f>C.w0CA*Molweight</f>
        <v>7.2438793401329931E-11</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1.8700909585222781E-3</v>
      </c>
      <c r="D25" s="446">
        <f t="shared" si="5"/>
        <v>5.8427417884379803E-11</v>
      </c>
      <c r="E25" s="295">
        <f>M.w0CP*Molweight</f>
        <v>1.1029082248472822E-6</v>
      </c>
      <c r="F25" s="446">
        <f t="shared" si="6"/>
        <v>3.7273677737390201E-12</v>
      </c>
      <c r="G25" s="296"/>
      <c r="H25" s="446"/>
      <c r="I25" s="296"/>
      <c r="J25" s="446"/>
      <c r="K25" s="296"/>
      <c r="L25" s="461"/>
      <c r="M25" s="124">
        <f>C.w0RP*Molweight</f>
        <v>3.2726796316616846E-14</v>
      </c>
      <c r="N25" s="124">
        <f>C.w0CP*Molweight</f>
        <v>1.2655867450568954E-18</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35">
      <c r="A27" s="17"/>
      <c r="B27" s="104" t="s">
        <v>174</v>
      </c>
      <c r="C27" s="295">
        <f>SUM(C28,C31:C33)</f>
        <v>1258434.9258406323</v>
      </c>
      <c r="D27" s="446">
        <f t="shared" ref="D27:D33" si="7">C27/$C$103</f>
        <v>3.9317394139207699E-2</v>
      </c>
      <c r="E27" s="295">
        <f>SUM(E28,E31:E33)</f>
        <v>8668.86190470361</v>
      </c>
      <c r="F27" s="446">
        <f t="shared" ref="F27:F33" si="8">E27/$E$103</f>
        <v>2.9297121710249542E-2</v>
      </c>
      <c r="G27" s="296"/>
      <c r="H27" s="446"/>
      <c r="I27" s="296"/>
      <c r="J27" s="446"/>
      <c r="K27" s="296"/>
      <c r="L27" s="461"/>
      <c r="M27" s="459">
        <f>((M.sd0RD+M.sd0RS+M.sd0RA+M.sd0RP)*Molweight*1000/(VOLUME.sd0R))/(FRACw.sdR*1000+FRACs.sdR*RHOsolid)</f>
        <v>5.6468586780490632E-2</v>
      </c>
      <c r="N27" s="459">
        <f>((M.sd0CD+M.sd0CS+M.sd0CA+M.sd0CP)*Molweight*1000/(VOLUME.sd0C))/(FRACw.sdC*1000+FRACs.sdC*RHOsolid)</f>
        <v>2.5506450138504998E-5</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4">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4.4884057413724271E-10</v>
      </c>
      <c r="D31" s="446">
        <f t="shared" si="7"/>
        <v>1.4023165915578764E-17</v>
      </c>
      <c r="E31" s="295">
        <f>M.sd0CS*Molweight</f>
        <v>1.4319597705922222E-13</v>
      </c>
      <c r="F31" s="446">
        <f t="shared" si="8"/>
        <v>4.8394241532972838E-19</v>
      </c>
      <c r="G31" s="296"/>
      <c r="H31" s="446"/>
      <c r="I31" s="296"/>
      <c r="J31" s="446"/>
      <c r="K31" s="296"/>
      <c r="L31" s="461"/>
      <c r="M31" s="124">
        <f>C.sd0RS*(Molweight*1000)/(FRACw.sdR*1000+FRACs.sdR*RHOsolid)</f>
        <v>2.0140408050375311E-17</v>
      </c>
      <c r="N31" s="124">
        <f>C.sd0CS*(Molweight*1000)/(FRACw.sdC*1000+FRACs.sdC*RHOsolid)</f>
        <v>4.2132647734459832E-22</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150</v>
      </c>
      <c r="C32" s="295">
        <f>M.sd0RA*Molweight</f>
        <v>1258434.6671158951</v>
      </c>
      <c r="D32" s="446">
        <f t="shared" si="7"/>
        <v>3.931738605584776E-2</v>
      </c>
      <c r="E32" s="295">
        <f>M.sd0CA*Molweight</f>
        <v>8668.8617520214684</v>
      </c>
      <c r="F32" s="446">
        <f t="shared" si="8"/>
        <v>2.9297121194247863E-2</v>
      </c>
      <c r="G32" s="296"/>
      <c r="H32" s="446"/>
      <c r="I32" s="296"/>
      <c r="J32" s="446"/>
      <c r="K32" s="296"/>
      <c r="L32" s="461"/>
      <c r="M32" s="124">
        <f>C.sd0RA*(Molweight*1000)/(FRACw.sdR*1000+FRACs.sdR*RHOsolid)</f>
        <v>5.6468575170974727E-2</v>
      </c>
      <c r="N32" s="124">
        <f>C.sd0CA*(Molweight*1000)/(FRACw.sdC*1000+FRACs.sdC*RHOsolid)</f>
        <v>2.5506449689267316E-5</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0.2587247367597062</v>
      </c>
      <c r="D33" s="446">
        <f t="shared" si="7"/>
        <v>8.0833599257816175E-9</v>
      </c>
      <c r="E33" s="295">
        <f>M.sd0CP*Molweight</f>
        <v>1.5268214151026299E-4</v>
      </c>
      <c r="F33" s="446">
        <f t="shared" si="8"/>
        <v>5.1600167726522996E-10</v>
      </c>
      <c r="G33" s="296"/>
      <c r="H33" s="446"/>
      <c r="I33" s="296"/>
      <c r="J33" s="446"/>
      <c r="K33" s="296"/>
      <c r="L33" s="461"/>
      <c r="M33" s="124">
        <f>C.sd0RP*(Molweight*1000)/(FRACw.sdR*1000+FRACs.sdR*RHOsolid)</f>
        <v>1.1609515875614885E-8</v>
      </c>
      <c r="N33" s="124">
        <f>C.sd0CP*(Molweight*1000)/(FRACw.sdC*1000+FRACs.sdC*RHOsolid)</f>
        <v>4.4923768221046967E-13</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10104.09104135861</v>
      </c>
      <c r="D35" s="446">
        <f t="shared" ref="D35:D41" si="9">C35/$C$103</f>
        <v>3.1568301366569328E-4</v>
      </c>
      <c r="E35" s="295">
        <f>SUM(E36,E39:E41)</f>
        <v>39.54801088957965</v>
      </c>
      <c r="F35" s="446">
        <f t="shared" ref="F35:F41" si="10">E35/$E$103</f>
        <v>1.3365570949995466E-4</v>
      </c>
      <c r="G35" s="296"/>
      <c r="H35" s="446"/>
      <c r="I35" s="296"/>
      <c r="J35" s="446"/>
      <c r="K35" s="296"/>
      <c r="L35" s="461"/>
      <c r="M35" s="459">
        <f>(M.w1RD+M.w1RS+M.w1RA+M.w1RP)*Molweight/(VOLUME.w1R)</f>
        <v>5.3582635868375901E-7</v>
      </c>
      <c r="N35" s="459">
        <f>(M.w1CD+M.w1CS+M.w1CA+M.w1CP)*Molweight/(VOLUME.w1C)</f>
        <v>1.3751917155251012E-10</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0.30478137449224657</v>
      </c>
      <c r="D39" s="446">
        <f t="shared" si="9"/>
        <v>9.5223115483673986E-9</v>
      </c>
      <c r="E39" s="295">
        <f>M.w1CS*Molweight</f>
        <v>6.3343786399038379E-8</v>
      </c>
      <c r="F39" s="446">
        <f t="shared" si="10"/>
        <v>2.1407546228343417E-13</v>
      </c>
      <c r="G39" s="296"/>
      <c r="H39" s="446"/>
      <c r="I39" s="296"/>
      <c r="J39" s="446"/>
      <c r="K39" s="296"/>
      <c r="L39" s="461"/>
      <c r="M39" s="124">
        <f>C.w1RS*Molweight</f>
        <v>1.6162749664501511E-11</v>
      </c>
      <c r="N39" s="124">
        <f>C.w1CS*Molweight</f>
        <v>2.2026354379532492E-19</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10095.251287146059</v>
      </c>
      <c r="D40" s="446">
        <f t="shared" si="9"/>
        <v>3.1540683243984531E-4</v>
      </c>
      <c r="E40" s="295">
        <f>M.w1CA*Molweight</f>
        <v>39.548008412490354</v>
      </c>
      <c r="F40" s="446">
        <f t="shared" si="10"/>
        <v>1.3365570112843053E-4</v>
      </c>
      <c r="G40" s="296"/>
      <c r="H40" s="446"/>
      <c r="I40" s="296"/>
      <c r="J40" s="446"/>
      <c r="K40" s="296"/>
      <c r="L40" s="461"/>
      <c r="M40" s="124">
        <f>C.w1RA*Molweight</f>
        <v>5.3535758090929289E-7</v>
      </c>
      <c r="N40" s="124">
        <f>C.w1CA*Molweight</f>
        <v>1.3751916293899809E-10</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8.5349728380590211</v>
      </c>
      <c r="D41" s="446">
        <f t="shared" si="9"/>
        <v>2.6665891429963024E-7</v>
      </c>
      <c r="E41" s="295">
        <f>M.w1CP*Molweight</f>
        <v>2.4137455146516529E-6</v>
      </c>
      <c r="F41" s="446">
        <f t="shared" si="10"/>
        <v>8.1574486821561824E-12</v>
      </c>
      <c r="G41" s="296"/>
      <c r="H41" s="446"/>
      <c r="I41" s="296"/>
      <c r="J41" s="446"/>
      <c r="K41" s="296"/>
      <c r="L41" s="461"/>
      <c r="M41" s="124">
        <f>C.w1RP*Molweight</f>
        <v>4.5261502480158036E-10</v>
      </c>
      <c r="N41" s="124">
        <f>C.w1CP*Molweight</f>
        <v>8.3932485110380865E-18</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24505564.859608669</v>
      </c>
      <c r="D43" s="446">
        <f t="shared" ref="D43:D49" si="11">C43/$C$103</f>
        <v>0.76562953904472986</v>
      </c>
      <c r="E43" s="295">
        <f>SUM(E44,E47:E49)</f>
        <v>95915.583348499931</v>
      </c>
      <c r="F43" s="446">
        <f t="shared" ref="F43:F49" si="12">E43/$E$103</f>
        <v>0.32415449111559735</v>
      </c>
      <c r="G43" s="296"/>
      <c r="H43" s="446"/>
      <c r="I43" s="296"/>
      <c r="J43" s="446"/>
      <c r="K43" s="296"/>
      <c r="L43" s="461"/>
      <c r="M43" s="459">
        <f>((M.sd1RD+M.sd1RS+M.sd1RA+M.sd1RP)*Molweight*1000/(VOLUME.sd1R))/(FRACw.sdR*1000+FRACs.sdR*RHOsolid)</f>
        <v>9.9965050199547836E-2</v>
      </c>
      <c r="N43" s="459">
        <f>((M.sd1CD+M.sd1CS+M.sd1CA+M.sd1CP)*Molweight*1000/(VOLUME.sd1C))/(FRACw.sdC*1000+FRACs.sdC*RHOsolid)</f>
        <v>2.5655732720354538E-5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3">
      <c r="A47" s="17"/>
      <c r="B47" s="159" t="s">
        <v>147</v>
      </c>
      <c r="C47" s="295">
        <f>M.sd1RS*Molweight</f>
        <v>7.1888885098672373E-5</v>
      </c>
      <c r="D47" s="446">
        <f t="shared" si="11"/>
        <v>2.2460308209934901E-12</v>
      </c>
      <c r="E47" s="295">
        <f>M.sd1CS*Molweight</f>
        <v>1.4940920158725639E-11</v>
      </c>
      <c r="F47" s="446">
        <f t="shared" si="12"/>
        <v>5.0494051141338588E-17</v>
      </c>
      <c r="G47" s="296"/>
      <c r="H47" s="446"/>
      <c r="I47" s="296"/>
      <c r="J47" s="446"/>
      <c r="K47" s="296"/>
      <c r="L47" s="461"/>
      <c r="M47" s="124">
        <f>C.sd1RS*(Molweight*1000)/(FRACw.sdR*1000+FRACs.sdR*RHOsolid)</f>
        <v>2.9325486063466598E-13</v>
      </c>
      <c r="N47" s="124">
        <f>C.sd1CS*(Molweight*1000)/(FRACw.sdC*1000+FRACs.sdC*RHOsolid)</f>
        <v>3.9964335388094906E-21</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24484695.495674342</v>
      </c>
      <c r="D48" s="446">
        <f t="shared" si="11"/>
        <v>0.76497751565409455</v>
      </c>
      <c r="E48" s="295">
        <f>M.sd1CA*Molweight</f>
        <v>95915.577446783645</v>
      </c>
      <c r="F48" s="446">
        <f t="shared" si="12"/>
        <v>0.32415447117026863</v>
      </c>
      <c r="G48" s="296"/>
      <c r="H48" s="446"/>
      <c r="I48" s="296"/>
      <c r="J48" s="446"/>
      <c r="K48" s="296"/>
      <c r="L48" s="461"/>
      <c r="M48" s="124">
        <f>C.sd1RA*(Molweight*1000)/(FRACw.sdR*1000+FRACs.sdR*RHOsolid)</f>
        <v>9.987991822951249E-2</v>
      </c>
      <c r="N48" s="124">
        <f>C.sd1CA*(Molweight*1000)/(FRACw.sdC*1000+FRACs.sdC*RHOsolid)</f>
        <v>2.5655731141749169E-5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35">
      <c r="A49" s="17"/>
      <c r="B49" s="159" t="s">
        <v>152</v>
      </c>
      <c r="C49" s="295">
        <f>M.sd1RP*Molweight</f>
        <v>20869.363862437491</v>
      </c>
      <c r="D49" s="446">
        <f t="shared" si="11"/>
        <v>6.5202338838925733E-4</v>
      </c>
      <c r="E49" s="295">
        <f>M.sd1CP*Molweight</f>
        <v>5.9017162687225273E-3</v>
      </c>
      <c r="F49" s="446">
        <f t="shared" si="12"/>
        <v>1.994532866307498E-8</v>
      </c>
      <c r="G49" s="296"/>
      <c r="H49" s="446"/>
      <c r="I49" s="296"/>
      <c r="J49" s="446"/>
      <c r="K49" s="296"/>
      <c r="L49" s="461"/>
      <c r="M49" s="124">
        <f>C.sd1RP*(Molweight*1000)/(FRACw.sdR*1000+FRACs.sdR*RHOsolid)</f>
        <v>8.5131969742096705E-5</v>
      </c>
      <c r="N49" s="124">
        <f>C.sd1CP*(Molweight*1000)/(FRACw.sdC*1000+FRACs.sdC*RHOsolid)</f>
        <v>1.5786053725135508E-12</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4">
      <c r="A51" s="17"/>
      <c r="B51" s="104" t="s">
        <v>220</v>
      </c>
      <c r="C51" s="295">
        <f>SUM(C52,C55:C57)</f>
        <v>63.185558416734722</v>
      </c>
      <c r="D51" s="446">
        <f t="shared" ref="D51:D57" si="13">C51/$C$103</f>
        <v>1.974112012599451E-6</v>
      </c>
      <c r="E51" s="295">
        <f>SUM(E52,E55:E57)</f>
        <v>2732.2407466739278</v>
      </c>
      <c r="F51" s="446">
        <f t="shared" ref="F51:F57" si="14">E51/$E$103</f>
        <v>9.233829143543839E-3</v>
      </c>
      <c r="G51" s="296">
        <f>SUM(G52,G55:G57)</f>
        <v>28.349635335986907</v>
      </c>
      <c r="H51" s="446">
        <f t="shared" ref="H51:H57" si="15">G51/$G$103</f>
        <v>6.4758233417804827E-3</v>
      </c>
      <c r="I51" s="296">
        <f>SUM(I52,I55:I57)</f>
        <v>0.27411588184804753</v>
      </c>
      <c r="J51" s="446">
        <f t="shared" ref="J51:J57" si="16">I51/$I$103</f>
        <v>6.6337621326638535E-3</v>
      </c>
      <c r="K51" s="296">
        <f>SUM(K52,K55:K57)</f>
        <v>3.1306746611354269E-2</v>
      </c>
      <c r="L51" s="461">
        <f t="shared" ref="L51:L57" si="17">K51/$K$103</f>
        <v>6.9035095697376515E-4</v>
      </c>
      <c r="M51" s="459">
        <f>(M.w2RD+M.w2RS+M.w2RA+M.w2RP)*Molweight/(VOLUME.w2R)</f>
        <v>6.3185558416734652E-9</v>
      </c>
      <c r="N51" s="459">
        <f>(M.w2CD+M.w2CS+M.w2CA+M.w2CP)*Molweight/(VOLUME.w2C)</f>
        <v>3.6788837573469244E-12</v>
      </c>
      <c r="O51" s="459">
        <f>(M.w2MD+M.w2MS+M.w2MA+M.w2MP)*Molweight/(VOLUME.w2M)</f>
        <v>7.3093216671415624E-15</v>
      </c>
      <c r="P51" s="459">
        <f>(M.w2AD+M.w2AS+M.w2AA+M.w2AP)*Molweight/(VOLUME.w2A)</f>
        <v>1.0749642425413629E-16</v>
      </c>
      <c r="Q51" s="459">
        <f>(M.w2TD+M.w2TS+M.w2TA+M.w2TP)*Molweight/(VOLUME.w2T)</f>
        <v>3.5077587239612635E-18</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3">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3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microplastic</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8.8958707026560383E-5</v>
      </c>
      <c r="D55" s="446">
        <f t="shared" si="13"/>
        <v>2.7793447833158104E-12</v>
      </c>
      <c r="E55" s="295">
        <f>M.w2CS*Molweight</f>
        <v>6.906934862223241E-6</v>
      </c>
      <c r="F55" s="446">
        <f t="shared" si="14"/>
        <v>2.3342546406642574E-11</v>
      </c>
      <c r="G55" s="296">
        <f>M.w2MS*Molweight</f>
        <v>6.4486885701797786E-10</v>
      </c>
      <c r="H55" s="446">
        <f t="shared" si="15"/>
        <v>1.4730548549113976E-13</v>
      </c>
      <c r="I55" s="296">
        <f>M.w2AS*Molweight</f>
        <v>1.4932890130245359E-14</v>
      </c>
      <c r="J55" s="446">
        <f t="shared" si="16"/>
        <v>3.6138453711399595E-16</v>
      </c>
      <c r="K55" s="296">
        <f>M.w2TS*Molweight</f>
        <v>5.2570294211492051E-14</v>
      </c>
      <c r="L55" s="461">
        <f t="shared" si="17"/>
        <v>1.1592374438592617E-15</v>
      </c>
      <c r="M55" s="124">
        <f>C.w2RS*Molweight</f>
        <v>8.895870702656029E-15</v>
      </c>
      <c r="N55" s="124">
        <f>C.w2CS*Molweight</f>
        <v>9.2999895813056484E-21</v>
      </c>
      <c r="O55" s="124">
        <f>C.w2MS*Molweight</f>
        <v>1.6626506313761833E-25</v>
      </c>
      <c r="P55" s="124">
        <f>C.w2AS*Molweight</f>
        <v>5.8560353451942587E-30</v>
      </c>
      <c r="Q55" s="124">
        <f>C.w2TS*Molweight</f>
        <v>5.8902290433044327E-30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3">
      <c r="A56" s="17"/>
      <c r="B56" s="159" t="s">
        <v>150</v>
      </c>
      <c r="C56" s="295">
        <f>M.w2RA*Molweight</f>
        <v>63.165972871079205</v>
      </c>
      <c r="D56" s="446">
        <f t="shared" si="13"/>
        <v>1.9735000996573059E-6</v>
      </c>
      <c r="E56" s="295">
        <f>M.w2CA*Molweight</f>
        <v>2732.222346775442</v>
      </c>
      <c r="F56" s="446">
        <f t="shared" si="14"/>
        <v>9.2337669595949738E-3</v>
      </c>
      <c r="G56" s="296">
        <f>M.w2MA*Molweight</f>
        <v>28.349489052647368</v>
      </c>
      <c r="H56" s="446">
        <f t="shared" si="15"/>
        <v>6.4757899267099371E-3</v>
      </c>
      <c r="I56" s="296">
        <f>M.w2AA*Molweight</f>
        <v>0.27411447530421246</v>
      </c>
      <c r="J56" s="446">
        <f t="shared" si="16"/>
        <v>6.6337280934933825E-3</v>
      </c>
      <c r="K56" s="296">
        <f>M.w2TA*Molweight</f>
        <v>3.1306576059963134E-2</v>
      </c>
      <c r="L56" s="461">
        <f t="shared" si="17"/>
        <v>6.9034719611296594E-4</v>
      </c>
      <c r="M56" s="124">
        <f>C.w2RA*Molweight</f>
        <v>6.3165972871079131E-9</v>
      </c>
      <c r="N56" s="124">
        <f>C.w2CA*Molweight</f>
        <v>3.6788589824116402E-12</v>
      </c>
      <c r="O56" s="124">
        <f>C.w2MA*Molweight</f>
        <v>7.3092839512425541E-15</v>
      </c>
      <c r="P56" s="124">
        <f>C.w2AA*Molweight</f>
        <v>1.0749587266831862E-16</v>
      </c>
      <c r="Q56" s="124">
        <f>C.w2TA*Molweight</f>
        <v>3.5077396145616965E-18</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35">
      <c r="A57" s="17"/>
      <c r="B57" s="159" t="s">
        <v>152</v>
      </c>
      <c r="C57" s="295">
        <f>M.w2RP*Molweight</f>
        <v>1.9496586948490931E-2</v>
      </c>
      <c r="D57" s="446">
        <f t="shared" si="13"/>
        <v>6.0913359736189247E-10</v>
      </c>
      <c r="E57" s="295">
        <f>M.w2CP*Molweight</f>
        <v>1.8392991551196919E-2</v>
      </c>
      <c r="F57" s="446">
        <f t="shared" si="14"/>
        <v>6.2160606318878877E-8</v>
      </c>
      <c r="G57" s="296">
        <f>M.w2MP*Molweight</f>
        <v>1.4628269467292015E-4</v>
      </c>
      <c r="H57" s="446">
        <f t="shared" si="15"/>
        <v>3.3414923240968258E-8</v>
      </c>
      <c r="I57" s="296">
        <f>M.w2AP*Molweight</f>
        <v>1.4065438201415821E-6</v>
      </c>
      <c r="J57" s="446">
        <f t="shared" si="16"/>
        <v>3.4039170109668882E-8</v>
      </c>
      <c r="K57" s="296">
        <f>M.w2TP*Molweight</f>
        <v>1.7055133856913839E-7</v>
      </c>
      <c r="L57" s="461">
        <f t="shared" si="17"/>
        <v>3.7608596401281599E-9</v>
      </c>
      <c r="M57" s="124">
        <f>C.w2RP*Molweight</f>
        <v>1.949658694849091E-12</v>
      </c>
      <c r="N57" s="124">
        <f>C.w2CP*Molweight</f>
        <v>2.4765635293701636E-17</v>
      </c>
      <c r="O57" s="124">
        <f>C.w2MP*Molweight</f>
        <v>3.7715732743248239E-20</v>
      </c>
      <c r="P57" s="124">
        <f>C.w2AP*Molweight</f>
        <v>5.5158581182022825E-22</v>
      </c>
      <c r="Q57" s="124">
        <f>C.w2TP*Molweight</f>
        <v>1.9109393677214385E-23</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900.42175856058907</v>
      </c>
      <c r="H59" s="446">
        <f t="shared" ref="H59:H65" si="18">G59/$G$103</f>
        <v>0.20568067886685942</v>
      </c>
      <c r="I59" s="296">
        <f>SUM(I60,I63:I65)</f>
        <v>8.6607359756831386</v>
      </c>
      <c r="J59" s="446">
        <f t="shared" ref="J59:J65" si="19">I59/$I$103</f>
        <v>0.20959479607363568</v>
      </c>
      <c r="K59" s="296">
        <f>SUM(K60,K63:K65)</f>
        <v>9.5937932708492042</v>
      </c>
      <c r="L59" s="461">
        <f t="shared" ref="L59:L65" si="20">K59/$K$103</f>
        <v>0.2115545395936213</v>
      </c>
      <c r="M59" s="459"/>
      <c r="N59" s="459"/>
      <c r="O59" s="459">
        <f>(M.w3MD+M.w3MS+M.w3MA+M.w3MP)*Molweight/(VOLUME.w3M)</f>
        <v>7.7384561169976528E-15</v>
      </c>
      <c r="P59" s="459">
        <f>(M.w3AD+M.w3AS+M.w3AA+M.w3AP)*Molweight/(VOLUME.w3A)</f>
        <v>1.1321223497625017E-16</v>
      </c>
      <c r="Q59" s="459">
        <f>(M.w3TD+M.w3TS+M.w3TA+M.w3TP)*Molweight/(VOLUME.w3T)</f>
        <v>3.5831160675440538E-17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7.4854470689242853E-6</v>
      </c>
      <c r="AE61" s="163">
        <f>k.aR.aC*(M.aRS+M.aRA+M.aRP)*Molweight</f>
        <v>8.4972537578093046E-3</v>
      </c>
      <c r="AF61" s="163">
        <f>kesc.aR*VOLUME.aR*(C.aRS+C.aRA+C.aRP)*Molweight</f>
        <v>3.3043702860737779E-7</v>
      </c>
      <c r="AG61" s="163"/>
      <c r="AH61" s="162">
        <f>(kdegS.a*C.aRS+kdegA.a*C.aRA+kdegP.a*C.aRP)*VOLUME.aR*Molweight</f>
        <v>0</v>
      </c>
      <c r="AI61" s="163">
        <f>SUM(AI62:AI64)</f>
        <v>1.054042028850201E-2</v>
      </c>
      <c r="AJ61" s="163">
        <f>SUM(AJ62:AJ64)</f>
        <v>0</v>
      </c>
      <c r="AK61" s="163">
        <f>SUM(AK67:AK69)</f>
        <v>0.29806740080137478</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2.1984138017020628E-5</v>
      </c>
      <c r="AF62" s="163"/>
      <c r="AG62" s="163">
        <f>(kdis.w0S.w0D*M.w0RS+kdis.w0A.w0D*M.w0RA+kdis.w0P.w0D*M.w0RP)*Molweight</f>
        <v>0</v>
      </c>
      <c r="AH62" s="162">
        <f>(kdegS.w0*M.w0RS+kdegA.w0*M.w0RA+kdegP.w0*M.w0RP)*Molweight</f>
        <v>2.4852125850898237E-4</v>
      </c>
      <c r="AI62" s="163">
        <f>((k.aRS.w0RS*M.aRS+k.aRA.w0RA*M.aRA+k.aRP.w0RP*M.aRP)+(k.cwRS.w0RS*M.cwRS+k.cwRA.w0RA*M.cwRA+k.cwRP.w0RP*M.cwRP))*Molweight</f>
        <v>7.6813810832656768E-4</v>
      </c>
      <c r="AJ62" s="163"/>
      <c r="AK62" s="163"/>
      <c r="AL62" s="163"/>
      <c r="AM62" s="163"/>
      <c r="AN62" s="163">
        <f>(k.w0RS.sd0RS*M.w0RS+k.w0RA.sd0RA*M.w0RA+k.w0RP.sd0RP*M.w0RP)*Molweight</f>
        <v>3.7659128582476518E-2</v>
      </c>
      <c r="AO62" s="162">
        <f>(k.sd0RS.w0RS*M.sd0RS+k.sd0RA.w0RA*M.sd0RA+k.sd0RP.w0RP*M.sd0RP)*Molweight</f>
        <v>0</v>
      </c>
      <c r="AP62" s="909">
        <f>SUM(AC62,AD62,AI62,AM62,AO62)-SUM(AF62,AE62,AH62,AJ62,AN62,AG62)</f>
        <v>-3.7161495870675958E-2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7.7172790512361971E-15</v>
      </c>
      <c r="H63" s="446">
        <f t="shared" si="18"/>
        <v>1.7628352260175254E-18</v>
      </c>
      <c r="I63" s="296">
        <f>M.w3AS*Molweight</f>
        <v>1.7953762770124378E-19</v>
      </c>
      <c r="J63" s="446">
        <f t="shared" si="19"/>
        <v>4.3449139393281572E-21</v>
      </c>
      <c r="K63" s="296">
        <f>M.w3TS*Molweight</f>
        <v>6.2597619334911843E-19</v>
      </c>
      <c r="L63" s="461">
        <f t="shared" si="20"/>
        <v>1.3803518758625326E-20</v>
      </c>
      <c r="M63" s="124"/>
      <c r="N63" s="124"/>
      <c r="O63" s="124">
        <f>C.w3MS*Molweight</f>
        <v>6.6324280497268839E-32</v>
      </c>
      <c r="P63" s="124">
        <f>C.w3AS*Molweight</f>
        <v>2.3468970941339057E-36</v>
      </c>
      <c r="Q63" s="124">
        <f>C.w3TS*Molweight</f>
        <v>2.3379129536848496E-36</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2.1984138017020625E-5</v>
      </c>
      <c r="AE63" s="163">
        <f>(WATERflow.w1R.w0R+WATERflow.w1R.w2R)*(C.w1RS+C.w1RA+C.w1RP)*Molweight</f>
        <v>7.3400412297125635E-4</v>
      </c>
      <c r="AF63" s="163"/>
      <c r="AG63" s="163">
        <f>(kdis.w1S.w1D*M.w1RS+kdis.w1A.w1D*M.w1RA+kdis.w1P.w1D*M.w1RP)*Molweight</f>
        <v>0</v>
      </c>
      <c r="AH63" s="162">
        <f>(kdegS.w1*M.w1RS+kdegA.w1*M.w1RA+kdegP.w1*M.w1RP)*Molweight</f>
        <v>2.738208672208183E-4</v>
      </c>
      <c r="AI63" s="163">
        <f>((k.aRS.w1RS*M.aRS+k.aRA.w1RA*M.aRA+k.aRP.w1RP*M.aRP)+(k.cwRS.w1RS*M.cwRS+k.cwRA.w1RA*M.cwRA+k.cwRP.w1RP*M.cwRP))*Molweight</f>
        <v>8.4495191915922446E-3</v>
      </c>
      <c r="AJ63" s="163"/>
      <c r="AK63" s="163"/>
      <c r="AL63" s="163"/>
      <c r="AM63" s="163">
        <f>(k.s1RS.w1RS*M.s1RS+k.s1RA.w1RA*M.s1RA+k.s1RP.w1RP*M.s1RP+k.s2RS.w1RS*M.s2RS+k.s2RA.w1RA*M.s2RA+k.s2RP.w1RP*M.s2RP+k.s3RS.w1RS*M.s3RS+k.s3RA.w1RA*M.s3RA+k.s3RP.w1RP*M.s3RP)*Molweight</f>
        <v>0.40877645457743544</v>
      </c>
      <c r="AN63" s="163">
        <f>(k.w1RS.sd1RS*M.w1RS+k.w1RA.sd1RA*M.w1RA+k.w1RP.sd1RP*M.w1RP)*Molweight</f>
        <v>1.3831043524699675</v>
      </c>
      <c r="AO63" s="162">
        <f>(k.sd1RS.w1RS*M.sd1RS+k.sd1RA.w1RA*M.sd1RA+k.sd1RP.w1RP*M.sd1RP)*Molweight</f>
        <v>0.64976629971546895</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900.41710465161441</v>
      </c>
      <c r="H64" s="446">
        <f t="shared" si="18"/>
        <v>0.20567961578819857</v>
      </c>
      <c r="I64" s="296">
        <f>M.w3AA*Molweight</f>
        <v>8.6606914602524476</v>
      </c>
      <c r="J64" s="446">
        <f t="shared" si="19"/>
        <v>0.20959371877458813</v>
      </c>
      <c r="K64" s="296">
        <f>M.w3TA*Molweight</f>
        <v>9.593743658216761</v>
      </c>
      <c r="L64" s="461">
        <f t="shared" si="20"/>
        <v>0.21155344557613331</v>
      </c>
      <c r="M64" s="124"/>
      <c r="N64" s="124"/>
      <c r="O64" s="124">
        <f>C.w3MA*Molweight</f>
        <v>7.738416120107274E-15</v>
      </c>
      <c r="P64" s="124">
        <f>C.w3AA*Molweight</f>
        <v>1.1321165307519538E-16</v>
      </c>
      <c r="Q64" s="124">
        <f>C.w3TA*Molweight</f>
        <v>3.5830975380828239E-17</v>
      </c>
      <c r="R64" s="160" t="s">
        <v>234</v>
      </c>
      <c r="S64" s="163"/>
      <c r="T64" s="163"/>
      <c r="U64" s="163"/>
      <c r="V64" s="163"/>
      <c r="W64" s="162"/>
      <c r="X64" s="17"/>
      <c r="Y64" s="156"/>
      <c r="Z64" s="17"/>
      <c r="AA64" s="312" t="s">
        <v>148</v>
      </c>
      <c r="AB64" s="162" t="s">
        <v>112</v>
      </c>
      <c r="AC64" s="161">
        <f>E.w2RS*Molweight</f>
        <v>0</v>
      </c>
      <c r="AD64" s="163">
        <f>(k.w1R.w2R*(M.w1RS+M.w1RA+M.w1RP)+k.w2C.w2R*(M.w2CS+M.w2CA+M.w2CP))*Molweight</f>
        <v>7.3404947878889868E-4</v>
      </c>
      <c r="AE64" s="163">
        <f>k.w2R.w2C*(M.w2RS+M.w2RA+M.w2RP)*Molweight</f>
        <v>8.6555018502732252E-5</v>
      </c>
      <c r="AF64" s="163"/>
      <c r="AG64" s="163">
        <f>(kdis.w2S.w2D*M.w2RS+kdis.w2A.w2D*M.w2RA+kdis.w2P.w2D*M.w2RP)*Molweight</f>
        <v>0</v>
      </c>
      <c r="AH64" s="162">
        <f>(kdegS.w2*M.w2RS+kdegA.w2*M.w2RA+kdegP.w2*M.w2RP)*Molweight</f>
        <v>1.7123286330935108E-6</v>
      </c>
      <c r="AI64" s="163">
        <f>((k.aRS.w2RS*M.aRS+k.aRA.w2RA*M.aRA+k.aRP.w2RP*M.aRP)+(k.cwRS.w2RS*M.cwRS+k.cwRA.w2RA*M.cwRA+k.cwRP.w2RP*M.cwRP))*Molweight</f>
        <v>1.3227629885831983E-3</v>
      </c>
      <c r="AJ64" s="163"/>
      <c r="AK64" s="163"/>
      <c r="AL64" s="163"/>
      <c r="AM64" s="163"/>
      <c r="AN64" s="163">
        <f>(k.w2RS.sd2RS*M.w2RS+k.w2RA.sd2RA*M.w2RA+k.w2RP.sd2RP*M.w2RP)*Molweight</f>
        <v>2.5947463768268538E-3</v>
      </c>
      <c r="AO64" s="162">
        <f>(k.sd2RS.w2RS*M.sd2RS+k.sd2RA.w2RA*M.sd2RA+k.sd2RP.w2RP*M.sd2RP)*Molweight</f>
        <v>6.2620125659058239E-4</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microplastic</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3">
      <c r="A65" s="17"/>
      <c r="B65" s="454" t="s">
        <v>152</v>
      </c>
      <c r="C65" s="295"/>
      <c r="D65" s="446"/>
      <c r="E65" s="296"/>
      <c r="F65" s="446"/>
      <c r="G65" s="296">
        <f>M.w3MP*Molweight</f>
        <v>4.6539089746410207E-3</v>
      </c>
      <c r="H65" s="446">
        <f t="shared" si="18"/>
        <v>1.0630786608477141E-6</v>
      </c>
      <c r="I65" s="296">
        <f>M.w3AP*Molweight</f>
        <v>4.4515430691301264E-5</v>
      </c>
      <c r="J65" s="446">
        <f t="shared" si="19"/>
        <v>1.0772990475716942E-6</v>
      </c>
      <c r="K65" s="296">
        <f>M.w3TP*Molweight</f>
        <v>4.9612632443406238E-5</v>
      </c>
      <c r="L65" s="461">
        <f t="shared" si="20"/>
        <v>1.0940174880027744E-6</v>
      </c>
      <c r="M65" s="124"/>
      <c r="N65" s="124"/>
      <c r="O65" s="124">
        <f>C.w3MP*Molweight</f>
        <v>3.9996890379829382E-20</v>
      </c>
      <c r="P65" s="124">
        <f>C.w3AP*Molweight</f>
        <v>5.8190105478825173E-22</v>
      </c>
      <c r="Q65" s="124">
        <f>C.w3TP*Molweight</f>
        <v>1.8529461230030343E-22</v>
      </c>
      <c r="R65" s="160" t="s">
        <v>234</v>
      </c>
      <c r="S65" s="163"/>
      <c r="T65" s="163"/>
      <c r="U65" s="163"/>
      <c r="V65" s="163"/>
      <c r="W65" s="162"/>
      <c r="X65" s="17"/>
      <c r="Y65" s="156"/>
      <c r="Z65" s="17"/>
      <c r="AA65" s="312" t="s">
        <v>151</v>
      </c>
      <c r="AB65" s="162" t="s">
        <v>113</v>
      </c>
      <c r="AC65" s="161"/>
      <c r="AD65" s="163"/>
      <c r="AE65" s="163"/>
      <c r="AF65" s="163">
        <f>kbur.sd1R*(M.sd1RS+M.sd1RA+M.sd1RP)*Molweight</f>
        <v>7.095263459927606E-2</v>
      </c>
      <c r="AG65" s="163">
        <f>(kdis.sd1S.sd1D*M.sd1RS+kdis.sd1A.sd1D*M.sd1RA+kdis.sd1P.sd1D*M.sd1RP)*Molweight</f>
        <v>0</v>
      </c>
      <c r="AH65" s="162">
        <f>(kdegS.sd1*M.sd1RS+kdegA.sd1*M.sd1RA+kdegP.sd1*M.sd1RP)*Molweight</f>
        <v>0.66238541815522234</v>
      </c>
      <c r="AI65" s="163"/>
      <c r="AJ65" s="163"/>
      <c r="AK65" s="163"/>
      <c r="AL65" s="163"/>
      <c r="AM65" s="163"/>
      <c r="AN65" s="163">
        <f>AN63</f>
        <v>1.3831043524699675</v>
      </c>
      <c r="AO65" s="162">
        <f>AO63</f>
        <v>0.64976629971546895</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45488</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6.4407694395062482E-5</v>
      </c>
      <c r="AG66" s="163">
        <f>(kdis.sd2S.sd2D*M.sd2RS+kdis.sd2A.sd2D*M.sd2RA+kdis.sd2P.sd2D*M.sd2RP)*Molweight</f>
        <v>0</v>
      </c>
      <c r="AH66" s="162">
        <f>(kdegS.sd2*M.sd2RS+kdegA.sd2*M.sd2RA+kdegP.sd2*M.sd2RP)*Molweight</f>
        <v>1.9041374258412088E-3</v>
      </c>
      <c r="AI66" s="163"/>
      <c r="AJ66" s="163"/>
      <c r="AK66" s="163"/>
      <c r="AL66" s="163"/>
      <c r="AM66" s="163"/>
      <c r="AN66" s="163">
        <f>AN64</f>
        <v>2.5947463768268538E-3</v>
      </c>
      <c r="AO66" s="162">
        <f>AO64</f>
        <v>6.2620125659058239E-4</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70445.335769190118</v>
      </c>
      <c r="D67" s="446">
        <f t="shared" ref="D67:D73" si="21">C67/$C$103</f>
        <v>2.2009298811028321E-3</v>
      </c>
      <c r="E67" s="295">
        <f>SUM(E68,E71:E73)</f>
        <v>152307.86599084103</v>
      </c>
      <c r="F67" s="446">
        <f t="shared" ref="F67:F73" si="22">E67/$E$103</f>
        <v>0.51473678279970358</v>
      </c>
      <c r="G67" s="296">
        <f>SUM(G68,G71:G73)</f>
        <v>3346.2477025397966</v>
      </c>
      <c r="H67" s="446">
        <f t="shared" ref="H67:H73" si="23">G67/$G$103</f>
        <v>0.76437346451434218</v>
      </c>
      <c r="I67" s="296">
        <f>SUM(I68,I71:I73)</f>
        <v>32.185992373843924</v>
      </c>
      <c r="J67" s="446">
        <f t="shared" ref="J67:J73" si="24">I67/$I$103</f>
        <v>0.77891954297698129</v>
      </c>
      <c r="K67" s="296">
        <f>SUM(K68,K71:K73)</f>
        <v>35.654342428219501</v>
      </c>
      <c r="L67" s="461">
        <f t="shared" ref="L67:L73" si="25">K67/$K$103</f>
        <v>0.78622060992644605</v>
      </c>
      <c r="M67" s="459">
        <f>((M.sd2RD+M.sd2RS+M.sd2RA+M.sd2RP)*Molweight*1000/(VOLUME.sd2R))/ (FRACw.sdR*1000+FRACs.sdR*RHOsolid)</f>
        <v>1.806290660748463E-3</v>
      </c>
      <c r="N67" s="459">
        <f>((M.sd2CD+M.sd2CS+M.sd2CA+M.sd2CP)*Molweight*1000/(VOLUME.sd2C))/ (FRACw.sdC*1000+FRACs.sdC*RHOsolid)</f>
        <v>1.0516829267980242E-6</v>
      </c>
      <c r="O67" s="459">
        <f>((M.sdMD+M.sdMS+M.sdMA+M.sdMP)*Molweight*1000/(VOLUME.sdM))/(FRACw.sdM*1000+FRACs.sdM*RHOsolid)</f>
        <v>2.2121933208195638E-9</v>
      </c>
      <c r="P67" s="459">
        <f xml:space="preserve"> ((M.sdAD+M.sdAS+M.sdAA+M.sdAP)*Molweight*1000/(VOLUME.sdA))/(FRACw.sdA*1000+FRACs.sdA*RHOsolid)</f>
        <v>3.2363994342728933E-11</v>
      </c>
      <c r="Q67" s="459">
        <f>((M.sdTD+M.sdTS+M.sdTA+M.sdTP)*Molweight*1000/(VOLUME.sdT))/(FRACw.sdT*1000+FRACs.sdT*RHOsolid)</f>
        <v>1.0243293091494505E-11</v>
      </c>
      <c r="R67" s="160" t="s">
        <v>175</v>
      </c>
      <c r="S67" s="163"/>
      <c r="T67" s="163"/>
      <c r="U67" s="163"/>
      <c r="V67" s="163"/>
      <c r="W67" s="162"/>
      <c r="X67" s="17"/>
      <c r="Y67" s="156"/>
      <c r="Z67" s="17"/>
      <c r="AA67" s="312" t="s">
        <v>155</v>
      </c>
      <c r="AB67" s="162" t="s">
        <v>115</v>
      </c>
      <c r="AC67" s="161">
        <f>E.s1RS*Molweight</f>
        <v>0</v>
      </c>
      <c r="AD67" s="163"/>
      <c r="AE67" s="163"/>
      <c r="AF67" s="163">
        <f>kleach.s1R*(M.s1RS+M.s1RA)*Molweight</f>
        <v>4.6642167808748689E-4</v>
      </c>
      <c r="AG67" s="163">
        <f>(kdis.s1S.s1D*M.s1RS+kdis.s1A.s1D*M.s1RA+kdis.s1P.s1D*M.s1RP)*Molweight</f>
        <v>0</v>
      </c>
      <c r="AH67" s="162">
        <f>(kdegS.s1*M.s1RS+kdegA.s1*M.s1RA+kdegP.s1*M.s1RP)*Molweight</f>
        <v>1.3268338709052077E-2</v>
      </c>
      <c r="AI67" s="163"/>
      <c r="AJ67" s="163"/>
      <c r="AK67" s="163">
        <f>((k.aRS.s1RS*M.aRS+k.aRA.s1RA*M.aRA+k.aRP.s1RP*M.aRP)+(k.cwRS.s1RS*M.cwRS+k.cwRA.s1RA*M.cwRA+k.cwRP.s1RP*M.cwRP))*Molweight</f>
        <v>8.2967214656052779E-2</v>
      </c>
      <c r="AL67" s="163"/>
      <c r="AM67" s="163">
        <f>(k.s1RS.w1RS*M.s1RS+k.s1RA.w1RA*M.s1RA+k.s1RP.w1RP*M.s1RP)*Molweight</f>
        <v>6.3463083079837126E-2</v>
      </c>
      <c r="AN67" s="163"/>
      <c r="AO67" s="162"/>
      <c r="AP67" s="909">
        <f>SUM(AC67,AD67,AK67)-SUM(AE67,AF67,AH67,AL67,AM67,AP66,AG67)</f>
        <v>5.7693711890760835E-3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35">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2.36527376353353E-3</v>
      </c>
      <c r="AG68" s="163">
        <f>(kdis.s2S.s2D*M.s2RS+kdis.s2A.s2D*M.s2RA+kdis.s2P.s2D*M.s2RP)*Molweight</f>
        <v>0</v>
      </c>
      <c r="AH68" s="162">
        <f>(kdegS.s2*M.s2RS+kdegA.s2*M.s2RA+kdegP.s2*M.s2RP)*Molweight</f>
        <v>0.14804038774870285</v>
      </c>
      <c r="AI68" s="163"/>
      <c r="AJ68" s="163"/>
      <c r="AK68" s="163">
        <f>((k.aRS.s2RS*M.aRS+k.aRA.s2RA*M.aRA+k.aRP.s2RP*M.aRP)+(k.cwRS.s2RS*M.cwRS+k.cwRA.s2RA*M.cwRA+k.cwRP.s2RP*M.cwRP))*Molweight</f>
        <v>0.18437158812456175</v>
      </c>
      <c r="AL68" s="163"/>
      <c r="AM68" s="163">
        <f>(k.s2RS.w1RS*M.s2RS+k.s2RA.w1RA*M.s2RA+k.s2RP.w1RP*M.s2RP)*Molweight</f>
        <v>0.3218085259124735</v>
      </c>
      <c r="AN68" s="163"/>
      <c r="AO68" s="162"/>
      <c r="AP68" s="909">
        <f>SUM(AC68,AD68,AK68)-SUM(AE68,AF68,AH68,AL68,AM68,AP67,AG68)</f>
        <v>2.3485949348421631E-2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1.7274876966203215E-4</v>
      </c>
      <c r="AG69" s="163">
        <f>(kdis.s3S.s3D*M.s3RS+kdis.s3A.s3D*M.s3RA+kdis.s3P.s3D*M.s3RP)*Molweight</f>
        <v>0</v>
      </c>
      <c r="AH69" s="162">
        <f>(kdegS.s3*M.s3RS+kdegA.s3*M.s3RA+kdegP.s3*M.s3RP)*Molweight</f>
        <v>4.9141995218711402E-3</v>
      </c>
      <c r="AI69" s="163"/>
      <c r="AJ69" s="163"/>
      <c r="AK69" s="163">
        <f>((k.aRS.s3RS*M.aRS+k.aRA.s3RA*M.aRA+k.aRP.s3RP*M.aRP)+(k.cwRS.s3RS*M.cwRS+k.cwRA.s3RA*M.cwRA+k.cwRP.s3RP*M.cwRP))*Molweight</f>
        <v>3.0728598020760289E-2</v>
      </c>
      <c r="AL69" s="163"/>
      <c r="AM69" s="163">
        <f>(k.s3RS.w1RS*M.s3RS+k.s3RA.w1RA*M.s3RA+k.s3RP.w1RP*M.s3RP)*Molweight</f>
        <v>2.3504845585124858E-2</v>
      </c>
      <c r="AN69" s="163"/>
      <c r="AO69" s="162"/>
      <c r="AP69" s="909">
        <f>SUM(AC69,AD69,AK69)-SUM(AE69,AF69,AH69,AL69,AM69,AP68,AG69)</f>
        <v>-2.134914520431937E-2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6.2948162380413403E-9</v>
      </c>
      <c r="D71" s="446">
        <f t="shared" si="21"/>
        <v>1.9666950271554911E-16</v>
      </c>
      <c r="E71" s="295">
        <f>M.sd2CS*Molweight</f>
        <v>2.4437116488684755E-11</v>
      </c>
      <c r="F71" s="446">
        <f t="shared" si="22"/>
        <v>8.2587216625066454E-17</v>
      </c>
      <c r="G71" s="296">
        <f>M.sdMS*Molweight</f>
        <v>1.8202772615506386E-21</v>
      </c>
      <c r="H71" s="446">
        <f t="shared" si="23"/>
        <v>4.1580055048886316E-25</v>
      </c>
      <c r="I71" s="296">
        <f>M.sdAS*Molweight</f>
        <v>4.2348466107881343E-26</v>
      </c>
      <c r="J71" s="446">
        <f t="shared" si="24"/>
        <v>1.0248572572624284E-27</v>
      </c>
      <c r="K71" s="296">
        <f>M.sdTS*Molweight</f>
        <v>1.4764732232097703E-25</v>
      </c>
      <c r="L71" s="461">
        <f t="shared" si="25"/>
        <v>3.2557988705838E-27</v>
      </c>
      <c r="M71" s="124">
        <f>C.sd2RS*(Molweight*1000)/(FRACw.sdR*1000+FRACs.sdR*RHOsolid)</f>
        <v>1.614055445651624E-16</v>
      </c>
      <c r="N71" s="124">
        <f>C.sd2CS*(Molweight*1000)/(FRACw.sdC*1000+FRACs.sdC*RHOsolid)</f>
        <v>1.6873782600873492E-22</v>
      </c>
      <c r="O71" s="124">
        <f>C.sdMS*(Molweight*1000)/(FRACw.sdM*1000+FRACs.sdM*RHOsolid)</f>
        <v>1.2033792946606168E-33</v>
      </c>
      <c r="P71" s="124">
        <f>C.sdAS*(Molweight*1000)/(FRACw.sdA*1000+FRACs.sdA*RHOsolid)</f>
        <v>4.2582670797266318E-38</v>
      </c>
      <c r="Q71" s="124">
        <f>C.sdTS*(Molweight*1000)/(FRACw.sdT*1000+FRACs.sdT*RHOsolid)</f>
        <v>4.2418249607405603E-38</v>
      </c>
      <c r="R71" s="160" t="s">
        <v>237</v>
      </c>
      <c r="S71" s="163"/>
      <c r="T71" s="163"/>
      <c r="U71" s="163"/>
      <c r="V71" s="163"/>
      <c r="W71" s="162"/>
      <c r="X71" s="166"/>
      <c r="Y71" s="156"/>
      <c r="Z71" s="17"/>
      <c r="AA71" s="312" t="s">
        <v>141</v>
      </c>
      <c r="AB71" s="162" t="s">
        <v>118</v>
      </c>
      <c r="AC71" s="161">
        <f>E.aCS*Molweight</f>
        <v>0</v>
      </c>
      <c r="AD71" s="163">
        <f>(k.aR.aC*(M.aRS+M.aRA+M.aRP)+k.aM.aC*(M.aMS+M.aMA+M.aMP))*Molweight</f>
        <v>8.4972667238230413E-3</v>
      </c>
      <c r="AE71" s="163">
        <f>(k.aC.aM+k.aC.aR)*(M.aCS+M.aCA+M.aCP)*Molweight</f>
        <v>4.1918313769823641E-5</v>
      </c>
      <c r="AF71" s="163">
        <f>kesc.aC*VOLUME.aC*(C.aCS+C.aCA+C.aCP)*Molweight</f>
        <v>9.128511873023177E-9</v>
      </c>
      <c r="AG71" s="163"/>
      <c r="AH71" s="162">
        <f>(kdegS.a*C.aCS+kdegA.a*C.aCA+kdegP.a*C.aCP)*VOLUME.aC*Molweight</f>
        <v>0</v>
      </c>
      <c r="AI71" s="163">
        <f>SUM(AI72:AI74,AK77:AK79)</f>
        <v>8.4553392815413467E-3</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70423.424479552748</v>
      </c>
      <c r="D72" s="446">
        <f t="shared" si="21"/>
        <v>2.2002453047349317E-3</v>
      </c>
      <c r="E72" s="295">
        <f>M.sd2CA*Molweight</f>
        <v>152306.83246157452</v>
      </c>
      <c r="F72" s="446">
        <f t="shared" si="22"/>
        <v>0.51473328990374501</v>
      </c>
      <c r="G72" s="296">
        <f>M.sdMA*Molweight</f>
        <v>3346.2302685723334</v>
      </c>
      <c r="H72" s="446">
        <f t="shared" si="23"/>
        <v>0.76436948212472411</v>
      </c>
      <c r="I72" s="296">
        <f>M.sdAA*Molweight</f>
        <v>32.185825614980672</v>
      </c>
      <c r="J72" s="446">
        <f t="shared" si="24"/>
        <v>0.77891550731649761</v>
      </c>
      <c r="K72" s="296">
        <f>M.sdTA*Molweight</f>
        <v>35.654156570506835</v>
      </c>
      <c r="L72" s="461">
        <f t="shared" si="25"/>
        <v>0.78621651154307215</v>
      </c>
      <c r="M72" s="124">
        <f>C.sd2RA*(Molweight*1000)/(FRACw.sdR*1000+FRACs.sdR*RHOsolid)</f>
        <v>1.8057288328090428E-3</v>
      </c>
      <c r="N72" s="124">
        <f>C.sd2CA*(Molweight*1000)/(FRACw.sdC*1000+FRACs.sdC*RHOsolid)</f>
        <v>1.0516757902980358E-6</v>
      </c>
      <c r="O72" s="124">
        <f>C.sdMA*(Molweight*1000)/(FRACw.sdM*1000+FRACs.sdM*RHOsolid)</f>
        <v>2.2121817952811677E-9</v>
      </c>
      <c r="P72" s="124">
        <f>C.sdAA*(Molweight*1000)/(FRACw.sdA*1000+FRACs.sdA*RHOsolid)</f>
        <v>3.2363826661619576E-11</v>
      </c>
      <c r="Q72" s="124">
        <f>C.sdTA*(Molweight*1000)/(FRACw.sdT*1000+FRACs.sdT*RHOsolid)</f>
        <v>1.0243239695613543E-11</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1.5133307676187472E-7</v>
      </c>
      <c r="AF72" s="163"/>
      <c r="AG72" s="163">
        <f>(kdis.w0S.w0D*M.w0CS+kdis.w0A.w0D*M.w0CA+kdis.w0P.w0D*M.w0CP)*Molweight</f>
        <v>0</v>
      </c>
      <c r="AH72" s="162">
        <f>(kdegS.w0*M.w0CS+kdegA.w0*M.w0CA+kdegP.w0*M.w0CP)*Molweight</f>
        <v>1.7107555757600959E-6</v>
      </c>
      <c r="AI72" s="163">
        <f>((k.aCS.w0CS*M.aCS+k.aCA.w0CA*M.aCA+k.aCP.w0CP*M.aCP)+(k.cwCS.w0CS*M.cwCS+k.cwCA.w0CA*M.cwCA+k.cwCP.w0CP*M.cwCP))*Molweight</f>
        <v>1.031967945427868E-5</v>
      </c>
      <c r="AJ72" s="163"/>
      <c r="AK72" s="163"/>
      <c r="AL72" s="163"/>
      <c r="AM72" s="163"/>
      <c r="AN72" s="163">
        <f>(k.w0CS.sd0CS*M.w0CS+k.w0CA.sd0CA*M.w0CA+k.w0CP.sd0CP*M.w0CP)*Molweight</f>
        <v>2.5923562632430272E-4</v>
      </c>
      <c r="AO72" s="162">
        <f>(k.sd0CS.w0CS*M.sd0CS+k.sd0CA.w0CA*M.sd0CA+k.sd0CP.w0CP*M.sd0CP)*Molweight</f>
        <v>0</v>
      </c>
      <c r="AP72" s="909">
        <f>SUM(AC72,AD72,AI72,AM72,AO72)-SUM(AF72,AE72,AH72,AJ72,AN72,AG72)</f>
        <v>-2.5077803552254601E-4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21.911289631067984</v>
      </c>
      <c r="D73" s="446">
        <f t="shared" si="21"/>
        <v>6.84576367703366E-7</v>
      </c>
      <c r="E73" s="295">
        <f>M.sd2CP*Molweight</f>
        <v>1.033529266481898</v>
      </c>
      <c r="F73" s="446">
        <f t="shared" si="22"/>
        <v>3.4928959584413126E-6</v>
      </c>
      <c r="G73" s="296">
        <f>M.sdMP*Molweight</f>
        <v>1.743396746326438E-2</v>
      </c>
      <c r="H73" s="446">
        <f t="shared" si="23"/>
        <v>3.982389618082144E-6</v>
      </c>
      <c r="I73" s="296">
        <f>M.sdAP*Molweight</f>
        <v>1.6675886325112394E-4</v>
      </c>
      <c r="J73" s="446">
        <f t="shared" si="24"/>
        <v>4.0356604836731219E-6</v>
      </c>
      <c r="K73" s="296">
        <f>M.sdTP*Molweight</f>
        <v>1.8585771266576442E-4</v>
      </c>
      <c r="L73" s="461">
        <f t="shared" si="25"/>
        <v>4.0983833738006936E-6</v>
      </c>
      <c r="M73" s="124">
        <f>C.sd2RP*(Molweight*1000)/(FRACw.sdR*1000+FRACs.sdR*RHOsolid)</f>
        <v>5.6182793925815297E-7</v>
      </c>
      <c r="N73" s="124">
        <f>C.sd2CP*(Molweight*1000)/(FRACw.sdC*1000+FRACs.sdC*RHOsolid)</f>
        <v>7.1364999885853637E-12</v>
      </c>
      <c r="O73" s="124">
        <f>C.sdMP*(Molweight*1000)/(FRACw.sdM*1000+FRACs.sdM*RHOsolid)</f>
        <v>1.1525538395841566E-14</v>
      </c>
      <c r="P73" s="124">
        <f>C.sdAP*(Molweight*1000)/(FRACw.sdA*1000+FRACs.sdA*RHOsolid)</f>
        <v>1.6768110935256301E-16</v>
      </c>
      <c r="Q73" s="124">
        <f>C.sdTP*(Molweight*1000)/(FRACw.sdT*1000+FRACs.sdT*RHOsolid)</f>
        <v>5.3395880964092352E-17</v>
      </c>
      <c r="R73" s="160" t="s">
        <v>237</v>
      </c>
      <c r="S73" s="163"/>
      <c r="T73" s="163"/>
      <c r="U73" s="163"/>
      <c r="V73" s="163"/>
      <c r="W73" s="162"/>
      <c r="X73" s="166"/>
      <c r="Y73" s="156"/>
      <c r="Z73" s="17"/>
      <c r="AA73" s="312" t="s">
        <v>146</v>
      </c>
      <c r="AB73" s="162" t="s">
        <v>119</v>
      </c>
      <c r="AC73" s="161">
        <f>E.w1CS*Molweight</f>
        <v>0</v>
      </c>
      <c r="AD73" s="163">
        <f>k.w0C.w1C*(M.w0CS+M.w0CA+M.w0CP)*Molweight</f>
        <v>1.5133307676187472E-7</v>
      </c>
      <c r="AE73" s="163">
        <f>(k.w1C.w0C+k.w1C.w1R+k.w1C.w2C)*(M.w1CS+M.w1CA+M.w1CP)*Molweight</f>
        <v>2.8729356187947031E-6</v>
      </c>
      <c r="AF73" s="163"/>
      <c r="AG73" s="163">
        <f>(kdis.w1S.w1D*M.w1CS+kdis.w1A.w1D*M.w1CA+kdis.w1P.w1D*M.w1CP)*Molweight</f>
        <v>0</v>
      </c>
      <c r="AH73" s="162">
        <f>(kdegS.w1*M.w1CS+kdegA.w1*M.w1CA+kdegP.w1*M.w1CP)*Molweight</f>
        <v>1.0717510951076085E-6</v>
      </c>
      <c r="AI73" s="163">
        <f>((k.aCS.w1CS*M.aCS+k.aCA.w1CA*M.aCA+k.aCP.w1CP*M.aCP)+(k.cwCS.w1CS*M.cwCS+k.cwCA.w1CA*M.cwCA+k.cwCP.w1CP*M.cwCP))*Molweight</f>
        <v>1.1351647399706548E-4</v>
      </c>
      <c r="AJ73" s="163"/>
      <c r="AK73" s="163"/>
      <c r="AL73" s="163"/>
      <c r="AM73" s="163">
        <f>(k.s1CS.w1CS*M.s1CS+k.s1CA.w1CA*M.s1CA+k.s1CP.w1CP*M.s1CP+k.s2CS.w1CS*M.s2CS+k.s2CA.w1CA*M.s2CA+k.s2CP.w1CP*M.s2CP+k.s3CS.w1CS*M.s3CS+k.s3CA.w1CA*M.s3CA+k.s3CP.w1CP*M.s3CP)*Molweight</f>
        <v>2.7585583907480055E-3</v>
      </c>
      <c r="AN73" s="163">
        <f>(k.w1CS.sd1CS*M.w1CS+k.w1CA.sd1CA*M.w1CA+k.w1CP.sd1CP*M.w1CP)*Molweight</f>
        <v>5.4135157283260711E-3</v>
      </c>
      <c r="AO73" s="162">
        <f>(k.sd1CS.w1CS*M.sd1CS+k.sd1CA.w1CA*M.sd1CA+k.sd1CP.w1CP*M.sd1CP)*Molweight</f>
        <v>2.545234217218141E-3</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8.9599990652068902E-5</v>
      </c>
      <c r="AE74" s="163">
        <f>(k.w2C.w2M+k.w2C.w2R)*(M.w2CS+M.w2CA+M.w2CP)*Molweight</f>
        <v>8.6633746191302292E-5</v>
      </c>
      <c r="AF74" s="163"/>
      <c r="AG74" s="163">
        <f>(kdis.w2S.w2D*M.w2CS+kdis.w2A.w2D*M.w2CA+kdis.w2P.w2D*M.w2CP)*Molweight</f>
        <v>0</v>
      </c>
      <c r="AH74" s="162">
        <f>(kdegS.w2*M.w2CS+kdegA.w2*M.w2CA+kdegP.w2*M.w2CP)*Molweight</f>
        <v>7.4043724234863442E-5</v>
      </c>
      <c r="AI74" s="163">
        <f>((k.aCS.w2CS*M.aCS+k.aCA.w2CA*M.aCA+k.aCP.w2CP*M.aCP)+(k.cwCS.w2CS*M.cwCS+k.cwCA.w2CA*M.cwCA+k.cwCP.w2CP*M.cwCP))*Molweight</f>
        <v>4.3270669484448314E-3</v>
      </c>
      <c r="AJ74" s="163"/>
      <c r="AK74" s="163"/>
      <c r="AL74" s="163"/>
      <c r="AM74" s="163"/>
      <c r="AN74" s="163">
        <f>(k.w2CS.sd2CS*M.w2CS+k.w2CA.sd2CA*M.w2CA+k.w2CP.sd2CP*M.w2CP)*Molweight</f>
        <v>5.6100276778694698E-3</v>
      </c>
      <c r="AO74" s="162">
        <f>(k.sd2CS.w2CS*M.sd2CS+k.sd2CA.w2CA*M.sd2CA+k.sd2CP.w2CP*M.sd2CP)*Molweight</f>
        <v>1.3540382091987361E-3</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5">
      <c r="A75" s="17"/>
      <c r="B75" s="104" t="s">
        <v>238</v>
      </c>
      <c r="C75" s="295">
        <f>SUM(C76,C79:C81)</f>
        <v>490874.53603596281</v>
      </c>
      <c r="D75" s="446">
        <f t="shared" ref="D75:D81" si="26">C75/$C$103</f>
        <v>1.5336436719868021E-2</v>
      </c>
      <c r="E75" s="295">
        <f>SUM(E76,E79:E81)</f>
        <v>6594.2525199302363</v>
      </c>
      <c r="F75" s="446">
        <f>E75/$E$103</f>
        <v>2.2285811077425527E-2</v>
      </c>
      <c r="G75" s="296"/>
      <c r="H75" s="446"/>
      <c r="I75" s="296"/>
      <c r="J75" s="446"/>
      <c r="K75" s="296"/>
      <c r="L75" s="461"/>
      <c r="M75" s="459">
        <f>((M.s1RD+M.s1RS+M.s1RA+M.s1RP)*Molweight*1000/(VOLUME.s1R))/(FRACw.s1R*1000+(1-FRACa.s1R-FRACw.s1R)*RHOsolid)</f>
        <v>9.3576885298118613E-5</v>
      </c>
      <c r="N75" s="459">
        <f>((M.s1CD+M.s1CS+M.s1CA+M.s1CP)*Molweight*1000/(VOLUME.s1C))/(FRACw.s1C*1000+(1-FRACa.s1C-FRACw.s1C)*RHOsolid)</f>
        <v>8.2428127649283245E-8</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2.7568329319797641E-4</v>
      </c>
      <c r="AG75" s="163">
        <f>(kdis.sd1S.sd1D*M.sd1CS+kdis.sd1A.sd1D*M.sd1CA+kdis.sd1P.sd1D*M.sd1CP)*Molweight</f>
        <v>0</v>
      </c>
      <c r="AH75" s="162">
        <f>(kdegS.sd1*M.sd1CS+kdegA.sd1*M.sd1CA+kdegP.sd1*M.sd1CP)*Molweight</f>
        <v>2.5925982179099533E-3</v>
      </c>
      <c r="AI75" s="163"/>
      <c r="AJ75" s="163"/>
      <c r="AK75" s="163"/>
      <c r="AL75" s="163"/>
      <c r="AM75" s="163"/>
      <c r="AN75" s="163">
        <f>AN73</f>
        <v>5.4135157283260711E-3</v>
      </c>
      <c r="AO75" s="162">
        <f>AO73</f>
        <v>2.545234217218141E-3</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1.3910785093830148E-4</v>
      </c>
      <c r="AG76" s="163">
        <f>(kdis.sd2S.sd2D*M.sd2CS+kdis.sd2A.sd2D*M.sd2CA+kdis.sd2P.sd2D*M.sd2CP)*Molweight</f>
        <v>0</v>
      </c>
      <c r="AH76" s="162">
        <f>(kdegS.sd2*M.sd2CS+kdegA.sd2*M.sd2CA+kdegP.sd2*M.sd2CP)*Molweight</f>
        <v>4.1168816177324331E-3</v>
      </c>
      <c r="AI76" s="163"/>
      <c r="AJ76" s="163"/>
      <c r="AK76" s="163"/>
      <c r="AL76" s="163"/>
      <c r="AM76" s="163"/>
      <c r="AN76" s="163">
        <f>AN74</f>
        <v>5.6100276778694698E-3</v>
      </c>
      <c r="AO76" s="162">
        <f>AO74</f>
        <v>1.3540382091987361E-3</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6.2663072862719154E-6</v>
      </c>
      <c r="AG77" s="163">
        <f>(kdis.s1S.s1D*M.s1CS+kdis.s1A.s1D*M.s1CA+kdis.s1P.s1D*M.s1CP)*Molweight</f>
        <v>0</v>
      </c>
      <c r="AH77" s="162">
        <f>(kdegS.s1*M.s1CS+kdegA.s1*M.s1CA+kdegP.s1*M.s1CP)*Molweight</f>
        <v>1.7824264561371432E-4</v>
      </c>
      <c r="AI77" s="163"/>
      <c r="AJ77" s="163"/>
      <c r="AK77" s="163">
        <f>((k.aCS.s1CS*M.aCS+k.aCA.s1CA*M.aCA+k.aCP.s1CP*M.aCP)+(k.cwCS.s1CS*M.cwCS+k.cwCA.s1CA*M.cwCA+k.cwCP.s1CP*M.cwCP))*Molweight</f>
        <v>1.114636874746594E-3</v>
      </c>
      <c r="AL77" s="163"/>
      <c r="AM77" s="163">
        <f>(k.s1CS.w1CS*M.s1CS+k.s1CA.w1CA*M.s1CA+k.s1CP.w1CP*M.s1CP)*Molweight</f>
        <v>8.5261726169272355E-4</v>
      </c>
      <c r="AN77" s="163"/>
      <c r="AO77" s="162"/>
      <c r="AP77" s="909">
        <f>SUM(AC77,AD77,AK77)-SUM(AE77,AF77,AH77,AL77,AM77,AP76,AG77)</f>
        <v>7.7510660153884284E-5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1.1687562840020218E-5</v>
      </c>
      <c r="AG78" s="163">
        <f>(kdis.s2S.s2D*M.s2CS+kdis.s2A.s2D*M.s2CA+kdis.s2P.s2D*M.s2CP)*Molweight</f>
        <v>0</v>
      </c>
      <c r="AH78" s="162">
        <f>(kdegS.s2*M.s2CS+kdegA.s2*M.s2CA+kdegP.s2*M.s2CP)*Molweight</f>
        <v>7.3056658841239594E-4</v>
      </c>
      <c r="AI78" s="163"/>
      <c r="AJ78" s="163"/>
      <c r="AK78" s="163">
        <f>((k.aCS.s2CS*M.aCS+k.aCA.s2CA*M.aCA+k.aCP.s2CP*M.aCP)+(k.cwCS.s2CS*M.cwCS+k.cwCA.s2CA*M.cwCA+k.cwCP.s2CP*M.cwCP))*Molweight</f>
        <v>2.4769708327702085E-3</v>
      </c>
      <c r="AL78" s="163"/>
      <c r="AM78" s="163">
        <f>(k.s2CS.w1CS*M.s2CS+k.s2CA.w1CA*M.s2CA+k.s2CP.w1CP*M.s2CP)*Molweight</f>
        <v>1.5901569580579773E-3</v>
      </c>
      <c r="AN78" s="163"/>
      <c r="AO78" s="162"/>
      <c r="AP78" s="909">
        <f>SUM(AC78,AD78,AK78)-SUM(AE78,AF78,AH78,AL78,AM78,AP77,AG78)</f>
        <v>6.7049063305930825E-5</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7.0254551398803131E-5</v>
      </c>
      <c r="D79" s="446">
        <f t="shared" si="26"/>
        <v>2.1949691880768537E-12</v>
      </c>
      <c r="E79" s="295">
        <f>M.s1CS*Molweight</f>
        <v>2.241375031162556E-8</v>
      </c>
      <c r="F79" s="446">
        <f t="shared" si="27"/>
        <v>7.5749086567700828E-14</v>
      </c>
      <c r="G79" s="296"/>
      <c r="H79" s="446"/>
      <c r="I79" s="296"/>
      <c r="J79" s="446"/>
      <c r="K79" s="296"/>
      <c r="L79" s="461"/>
      <c r="M79" s="124">
        <f>C.s1RS*(Molweight*1000)/(FRACw.s1R*1000+(1-FRACa.s1R-FRACw.s1R)*RHOsolid)</f>
        <v>1.3392835878198687E-14</v>
      </c>
      <c r="N79" s="124">
        <f>C.s1CS*(Molweight*1000)/(FRACw.s1C*1000+(1-FRACa.s1C-FRACw.s1C)*RHOsolid)</f>
        <v>2.8017178083519611E-19</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2.3208545504710792E-6</v>
      </c>
      <c r="AG79" s="163">
        <f>(kdis.s3S.s3D*M.s3CS+kdis.s3A.s3D*M.s3CA+kdis.s3P.s3D*M.s3CP)*Molweight</f>
        <v>0</v>
      </c>
      <c r="AH79" s="162">
        <f>(kdegS.s3*M.s3CS+kdegA.s3*M.s3CA+kdegP.s3*M.s3CP)*Molweight</f>
        <v>6.6015794671746034E-5</v>
      </c>
      <c r="AI79" s="163"/>
      <c r="AJ79" s="163"/>
      <c r="AK79" s="163">
        <f>((k.aCS.s3CS*M.aCS+k.aCA.s3CA*M.aCA+k.aCP.s3CP*M.aCP)+(k.cwCS.s3CS*M.cwCS+k.cwCA.s3CA*M.cwCA+k.cwCP.s3CP*M.cwCP))*Molweight</f>
        <v>4.1282847212836804E-4</v>
      </c>
      <c r="AL79" s="163"/>
      <c r="AM79" s="163">
        <f>(k.s3CS.w1CS*M.s3CS+k.s3CA.w1CA*M.s3CA+k.s3CP.w1CP*M.s3CP)*Molweight</f>
        <v>3.1578417099730507E-4</v>
      </c>
      <c r="AN79" s="163"/>
      <c r="AO79" s="162"/>
      <c r="AP79" s="909">
        <f>SUM(AC79,AD79,AK79)-SUM(AE79,AF79,AH79,AL79,AM79,AP78,AG79)</f>
        <v>-3.8341411397084968E-5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150</v>
      </c>
      <c r="C80" s="295">
        <f>M.s1RA*Molweight</f>
        <v>490829.42655378755</v>
      </c>
      <c r="D80" s="446">
        <f t="shared" si="26"/>
        <v>1.5335027360310621E-2</v>
      </c>
      <c r="E80" s="295">
        <f>M.s1CA*Molweight</f>
        <v>6594.2218315666269</v>
      </c>
      <c r="F80" s="446">
        <f t="shared" si="27"/>
        <v>2.2285707363612385E-2</v>
      </c>
      <c r="G80" s="296"/>
      <c r="H80" s="446"/>
      <c r="I80" s="296"/>
      <c r="J80" s="446"/>
      <c r="K80" s="296"/>
      <c r="L80" s="461"/>
      <c r="M80" s="124">
        <f>C.s1RA*(Molweight*1000)/(FRACw.s1R*1000+(1-FRACa.s1R-FRACw.s1R)*RHOsolid)</f>
        <v>9.3568285942215024E-5</v>
      </c>
      <c r="N80" s="124">
        <f>C.s1CA*(Molweight*1000)/(FRACw.s1C*1000+(1-FRACa.s1C-FRACw.s1C)*RHOsolid)</f>
        <v>8.2427744044872404E-8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152</v>
      </c>
      <c r="C81" s="295">
        <f>M.s1RP*Molweight</f>
        <v>45.109411920727183</v>
      </c>
      <c r="D81" s="446">
        <f t="shared" si="26"/>
        <v>1.4093573624320333E-6</v>
      </c>
      <c r="E81" s="295">
        <f>M.s1CP*Molweight</f>
        <v>3.0688341195824601E-2</v>
      </c>
      <c r="F81" s="446">
        <f t="shared" si="27"/>
        <v>1.0371373739520631E-7</v>
      </c>
      <c r="G81" s="296"/>
      <c r="H81" s="446"/>
      <c r="I81" s="296"/>
      <c r="J81" s="446"/>
      <c r="K81" s="296"/>
      <c r="L81" s="461"/>
      <c r="M81" s="124">
        <f>C.s1RP*(Molweight*1000)/(FRACw.s1R*1000+(1-FRACa.s1R-FRACw.s1R)*RHOsolid)</f>
        <v>8.5993425107351961E-9</v>
      </c>
      <c r="N81" s="124">
        <f>C.s1CP*(Molweight*1000)/(FRACw.s1C*1000+(1-FRACa.s1C-FRACw.s1C)*RHOsolid)</f>
        <v>3.8360413068636165E-13</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3.443304198745806E-5</v>
      </c>
      <c r="AE81" s="163">
        <f>(k.aM.aA+k.aM.aC+k.aM.aT)*(M.aMS+M.aMA+M.aMP)*Molweight</f>
        <v>1.1774560723972482E-7</v>
      </c>
      <c r="AF81" s="163">
        <f>kesc.aM*VOLUME.aM*(C.aMS+C.aMA+C.aMP)*Molweight</f>
        <v>3.7037905870948123E-11</v>
      </c>
      <c r="AG81" s="163"/>
      <c r="AH81" s="162">
        <f>(kdegS.a*C.aMS+kdegA.a*C.aMA+kdegP.a*C.aMP)*VOLUME.aM*Molweight</f>
        <v>0</v>
      </c>
      <c r="AI81" s="163">
        <f>SUM(AI82,AK85)</f>
        <v>3.4315259342312449E-5</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9.4065774731677779E-5</v>
      </c>
      <c r="AE82" s="163">
        <f>((k.w2M.w2C+k.w2M.w2A+k.w2M.w2T)*(M.w2MS+M.w2MA+M.w2MP)+k.w2MS.w3MS*M.w2MS+k.w2MA.w3MA*M.w2MA+k.w2MP.w3MP*M.w2MP)*Molweight</f>
        <v>1.2474956959711322E-4</v>
      </c>
      <c r="AF82" s="163"/>
      <c r="AG82" s="163">
        <f>(kdis.w2S.w2D*M.w2MS+kdis.w2A.w2D*M.w2MA+kdis.w2P.w2D*M.w2MP)*Molweight</f>
        <v>0</v>
      </c>
      <c r="AH82" s="162">
        <f>(kdegS.w2*C.w2MS+kdegA.w2*C.w2MA+kdegP.w2*C.w2MP)*VOLUME.w2M*Molweight</f>
        <v>7.6827511760524524E-7</v>
      </c>
      <c r="AI82" s="163">
        <f>((k.aMS.w2MS*M.aMS+k.aMA.w2MA*M.aMA+k.aMP.w2MP*M.aMP)+(k.cwMS.w2MS*M.cwMS+k.cwMA.w2MA*M.cwMA+k.cwMP.w2MP*M.cwMP))*Molweight</f>
        <v>1.7018539359182498E-5</v>
      </c>
      <c r="AJ82" s="163"/>
      <c r="AK82" s="163"/>
      <c r="AL82" s="163"/>
      <c r="AM82" s="163">
        <f>(k.sMS.w2MS*M.sMS+k.sMA.w2MA*M.sMA+k.sMP.w2MP*M.sMP)*Molweight</f>
        <v>1.4433530623858209E-5</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240</v>
      </c>
      <c r="C83" s="295">
        <f>SUM(C84,C87:C89)</f>
        <v>5476891.8885942604</v>
      </c>
      <c r="D83" s="446">
        <f t="shared" ref="D83:D89" si="28">C83/$C$103</f>
        <v>0.17111501963269604</v>
      </c>
      <c r="E83" s="295">
        <f>SUM(E84,E87:E89)</f>
        <v>27027.990692282496</v>
      </c>
      <c r="F83" s="446">
        <f>E83/$E$103</f>
        <v>9.1343286073763477E-2</v>
      </c>
      <c r="G83" s="296"/>
      <c r="H83" s="446"/>
      <c r="I83" s="296"/>
      <c r="J83" s="446"/>
      <c r="K83" s="296"/>
      <c r="L83" s="461"/>
      <c r="M83" s="459">
        <f>((M.s2RD+M.s2RS+M.s2RA+M.s2RP)*Molweight*1000/(VOLUME.s2R))/(FRACw.s2R*1000+(1-FRACa.s2R-FRACw.s2R)*RHOsolid)</f>
        <v>1.174585871191101E-4</v>
      </c>
      <c r="N83" s="459">
        <f>((M.s2CD+M.s2CS+M.s2CA+M.s2CP)*Molweight*1000/(VOLUME.s2C))/(FRACw.s2C*1000+(1-FRACa.s2C-FRACw.s2C)*RHOsolid)</f>
        <v>3.8008098608187732E-8</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1.2349811665174647E-4</v>
      </c>
      <c r="AE83" s="163">
        <f>(k.w3M.w2M+k.w3M.w3A+k.w3M.w3T)*(M.w3MS+M.w3MA+M.w3MP)*Molweight</f>
        <v>8.6376266117588714E-6</v>
      </c>
      <c r="AF83" s="163"/>
      <c r="AG83" s="163">
        <f>(kdis.w2S.w2D*M.w3MS+kdis.w2A.w2D*M.w3MA+kdis.w2P.w2D*M.w3MP)*Molweight</f>
        <v>0</v>
      </c>
      <c r="AH83" s="162">
        <f>(kdegS.w3*C.w3MS+kdegA.w3*C.w3MA+kdegP.w3*C.w3MP)*VOLUME.w3M*Molweight</f>
        <v>2.4401429656991967E-5</v>
      </c>
      <c r="AI83" s="163"/>
      <c r="AJ83" s="163"/>
      <c r="AK83" s="163"/>
      <c r="AL83" s="163"/>
      <c r="AM83" s="163"/>
      <c r="AN83" s="163">
        <f>(k.w3MS.sdMS*M.w3MS+k.w3MA.sdMA*M.w3MA+k.w3MP.sdMP*M.w3MP)*Molweight</f>
        <v>1.2325392458314836E-4</v>
      </c>
      <c r="AO83" s="162">
        <f>(k.sdMS.w3MS*M.sdMS+k.sdMA.w3MA*M.sdMA+k.sdMP.w3MP*M.sdMP)*Molweight</f>
        <v>3.2794864200152694E-5</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35">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9.9849833449478309E-9</v>
      </c>
      <c r="AG84" s="163">
        <f>(kdis.sd2S.sd2D*M.sdMS+kdis.sd2A.sd2D*M.sdMA+kdis.sd2P.sd2D*M.sdMP)*Molweight</f>
        <v>0</v>
      </c>
      <c r="AH84" s="162">
        <f>(kdegS.sd2*C.sdMS+kdegA.sd2*C.sdMA+kdegP.sd2*C.sdMP)*VOLUME.sdM*Molweight</f>
        <v>9.0449075399650703E-5</v>
      </c>
      <c r="AI84" s="163"/>
      <c r="AJ84" s="163"/>
      <c r="AK84" s="163"/>
      <c r="AL84" s="163"/>
      <c r="AM84" s="163"/>
      <c r="AN84" s="163">
        <f>AN83</f>
        <v>1.2325392458314836E-4</v>
      </c>
      <c r="AO84" s="162">
        <f>AO83</f>
        <v>3.2794864200152694E-5</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9.7239246225849034E-8</v>
      </c>
      <c r="AG85" s="163">
        <f>(kdis.s1S.s1D*M.sMS+kdis.s1A.s1D*M.sMA+kdis.s1P.s1D*M.sMP)*Molweight</f>
        <v>0</v>
      </c>
      <c r="AH85" s="162">
        <f>(kdegS.s1*C.sMS+kdegA.s1*C.sMA+kdegP.s1*C.sMP)*VOLUME.sM*Molweight</f>
        <v>2.7659501130458965E-6</v>
      </c>
      <c r="AI85" s="163"/>
      <c r="AJ85" s="163"/>
      <c r="AK85" s="163">
        <f>((k.aMS.sMS*M.aMS+k.aMA.sMA*M.aMA+k.aMP.sMP*M.aMP)+(k.cwMS.sMS*M.cwMS+k.cwMA.sMA*M.cwMA+k.cwMP.sMP*M.cwMP))*Molweight</f>
        <v>1.7296719983129951E-5</v>
      </c>
      <c r="AL85" s="163"/>
      <c r="AM85" s="163">
        <f>AM82</f>
        <v>1.4433530623858209E-5</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35">
      <c r="A87" s="17"/>
      <c r="B87" s="159" t="s">
        <v>147</v>
      </c>
      <c r="C87" s="295">
        <f>M.s2RS*Molweight</f>
        <v>1.1132054436003923E-2</v>
      </c>
      <c r="D87" s="446">
        <f t="shared" si="28"/>
        <v>3.4779976528950036E-10</v>
      </c>
      <c r="E87" s="295">
        <f>M.s2CS*Molweight</f>
        <v>4.9808334159254429E-8</v>
      </c>
      <c r="F87" s="446">
        <f t="shared" si="29"/>
        <v>1.6833130393468282E-13</v>
      </c>
      <c r="G87" s="296"/>
      <c r="H87" s="446"/>
      <c r="I87" s="296"/>
      <c r="J87" s="446"/>
      <c r="K87" s="296"/>
      <c r="L87" s="461"/>
      <c r="M87" s="124">
        <f>C.s2RS*(Molweight*1000)/(FRACw.s2R*1000+(1-FRACa.s2R-FRACw.s2R)*RHOsolid)</f>
        <v>2.3874040466437795E-13</v>
      </c>
      <c r="N87" s="124">
        <f>C.s2CS*(Molweight*1000)/(FRACw.s2C*1000+(1-FRACa.s2C-FRACw.s2C)*RHOsolid)</f>
        <v>7.0042945396420632E-20</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3.835199302089341E-8</v>
      </c>
      <c r="AE87" s="163">
        <f>k.aA.aM*(M.aAS+M.aAA+M.aAP)*Molweight</f>
        <v>1.1671241571571995E-10</v>
      </c>
      <c r="AF87" s="163">
        <f>kesc.aA*VOLUME.aA*(C.aAS+C.aAA+C.aAP)*Molweight</f>
        <v>6.1753855365928147E-14</v>
      </c>
      <c r="AG87" s="163"/>
      <c r="AH87" s="162">
        <f>(kdegS.a*C.aAS+kdegA.a*C.aAA+kdegP.a*C.aAP)*VOLUME.aA*Molweight</f>
        <v>0</v>
      </c>
      <c r="AI87" s="163">
        <f>SUM(AI88,AK91)</f>
        <v>3.823521885132233E-8</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150</v>
      </c>
      <c r="C88" s="295">
        <f>M.s2RA*Molweight</f>
        <v>5469783.2755116513</v>
      </c>
      <c r="D88" s="446">
        <f t="shared" si="28"/>
        <v>0.17089292460289909</v>
      </c>
      <c r="E88" s="295">
        <f>M.s2CA*Molweight</f>
        <v>27027.922462691527</v>
      </c>
      <c r="F88" s="446">
        <f t="shared" si="29"/>
        <v>9.1343055486328498E-2</v>
      </c>
      <c r="G88" s="296"/>
      <c r="H88" s="446"/>
      <c r="I88" s="296"/>
      <c r="J88" s="446"/>
      <c r="K88" s="296"/>
      <c r="L88" s="461"/>
      <c r="M88" s="124">
        <f>C.s2RA*(Molweight*1000)/(FRACw.s2R*1000+(1-FRACa.s2R-FRACw.s2R)*RHOsolid)</f>
        <v>1.1730613429257204E-4</v>
      </c>
      <c r="N88" s="124">
        <f>C.s2CA*(Molweight*1000)/(FRACw.s2C*1000+(1-FRACa.s2C-FRACw.s2C)*RHOsolid)</f>
        <v>3.8008002660359021E-8</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1.1741316002986142E-6</v>
      </c>
      <c r="AE88" s="163">
        <f>(k.w2A.w2M*(M.w2AS+M.w2AA+M.w2AP)+k.w2AS.w3AS*M.w2AS+k.w2AA.w3AA*M.w2AA+k.w2AP.w3AP*M.w2AP)*Molweight</f>
        <v>1.1994765450213631E-6</v>
      </c>
      <c r="AF88" s="163"/>
      <c r="AG88" s="163">
        <f>(kdis.w2S.w2D*M.w2AS+kdis.w2A.w2D*M.w2AA+kdis.w2P.w2D*M.w2AP)*Molweight</f>
        <v>0</v>
      </c>
      <c r="AH88" s="162">
        <f>(kdegS.w2*C.w2AS+kdegA.w2*C.w2AA+kdegP.w2*C.w2AP)*VOLUME.w2A*Molweight</f>
        <v>7.4285403980820881E-9</v>
      </c>
      <c r="AI88" s="163">
        <f>((k.aAS.w2AS*M.aAS+k.aAA.w2AA*M.aAA+k.aAP.w2AP*M.aAP)+(k.cwAS.w2AS*M.cwAS+k.cwAA.w2AA*M.cwAA+k.cwAP.w2AP*M.cwAP))*Molweight</f>
        <v>2.271847753719593E-8</v>
      </c>
      <c r="AJ88" s="163"/>
      <c r="AK88" s="163"/>
      <c r="AL88" s="163"/>
      <c r="AM88" s="163">
        <f>(k.sAS.w2AS*M.sAS+k.sAA.w2AA*M.sAA+k.sAP.w2AP*M.sAP)*Molweight</f>
        <v>1.0055007583635024E-8</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5">
      <c r="A89" s="17"/>
      <c r="B89" s="159" t="s">
        <v>152</v>
      </c>
      <c r="C89" s="295">
        <f>M.s2RP*Molweight</f>
        <v>7108.6019505548502</v>
      </c>
      <c r="D89" s="446">
        <f t="shared" si="28"/>
        <v>2.2209468199716861E-4</v>
      </c>
      <c r="E89" s="295">
        <f>M.s2CP*Molweight</f>
        <v>6.8229541161543963E-2</v>
      </c>
      <c r="F89" s="446">
        <f t="shared" si="29"/>
        <v>2.3058726665834205E-7</v>
      </c>
      <c r="G89" s="296"/>
      <c r="H89" s="446"/>
      <c r="I89" s="296"/>
      <c r="J89" s="446"/>
      <c r="K89" s="296"/>
      <c r="L89" s="461"/>
      <c r="M89" s="124">
        <f>C.s2RP*(Molweight*1000)/(FRACw.s2R*1000+(1-FRACa.s2R-FRACw.s2R)*RHOsolid)</f>
        <v>1.5245258779768092E-7</v>
      </c>
      <c r="N89" s="124">
        <f>C.s2CP*(Molweight*1000)/(FRACw.s2C*1000+(1-FRACa.s2C-FRACw.s2C)*RHOsolid)</f>
        <v>9.5947758676705632E-14</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1.1994765450213631E-6</v>
      </c>
      <c r="AE89" s="163">
        <f>(k.w3A.w2A+k.w3A.w3M)*(M.w3AS+M.w3AA+M.w3AP)*Molweight</f>
        <v>9.4715185473817387E-8</v>
      </c>
      <c r="AF89" s="163"/>
      <c r="AG89" s="163">
        <f>(kdis.w2S.w2D*M.w3AS+kdis.w2A.w2D*M.w3AA+kdis.w2P.w2D*M.w3AP)*Molweight</f>
        <v>0</v>
      </c>
      <c r="AH89" s="162">
        <f>(kdegS.w3*C.w3AS+kdegA.w3*C.w3AA+kdegP.w3*C.w3AP)*VOLUME.w3A*Molweight</f>
        <v>2.3470594494101305E-7</v>
      </c>
      <c r="AI89" s="163"/>
      <c r="AJ89" s="163"/>
      <c r="AK89" s="163"/>
      <c r="AL89" s="163"/>
      <c r="AM89" s="163"/>
      <c r="AN89" s="163">
        <f>(k.w3AS.sdAS*M.w3AS+k.w3AA.sdAA*M.w3AA+k.w3AP.sdAP*M.w3AP)*Molweight</f>
        <v>1.1855218828147605E-6</v>
      </c>
      <c r="AO89" s="162">
        <f>(k.sdAS.w3AS*M.sdAS+k.sdAA.w3AA*M.sdAA+k.sdAP.w3AP*M.sdAP)*Molweight</f>
        <v>3.1546646820822834E-7</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6.804074153104088E-11</v>
      </c>
      <c r="AG90" s="163">
        <f>(kdis.sd2S.sd2D*M.sdAS+kdis.sd2A.sd2D*M.sdAA+kdis.sd2P.sd2D*M.sdAP)*Molweight</f>
        <v>0</v>
      </c>
      <c r="AH90" s="162">
        <f>(kdegS.sd2*C.sdAS+kdegA.sd2*C.sdAA+kdegP.sd2*C.sdAP)*VOLUME.sdA*Molweight</f>
        <v>8.6998737386500113E-7</v>
      </c>
      <c r="AI90" s="163"/>
      <c r="AJ90" s="163"/>
      <c r="AK90" s="163"/>
      <c r="AL90" s="163"/>
      <c r="AM90" s="163"/>
      <c r="AN90" s="163">
        <f>AN89</f>
        <v>1.1855218828147605E-6</v>
      </c>
      <c r="AO90" s="162">
        <f>AO89</f>
        <v>3.1546646820822834E-7</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181805.38371702327</v>
      </c>
      <c r="D91" s="446">
        <f t="shared" ref="D91:D97" si="30">C91/$C$103</f>
        <v>5.6801617480992678E-3</v>
      </c>
      <c r="E91" s="295">
        <f>SUM(E92,E95:E97)</f>
        <v>2442.3157481223093</v>
      </c>
      <c r="F91" s="446">
        <f>E91/$E$103</f>
        <v>8.2540041027501943E-3</v>
      </c>
      <c r="G91" s="296">
        <f>SUM(G92,G95:G97)</f>
        <v>102.32889800391771</v>
      </c>
      <c r="H91" s="446">
        <f t="shared" ref="H91:H97" si="31">G91/$G$103</f>
        <v>2.33746874828849E-2</v>
      </c>
      <c r="I91" s="296">
        <f>SUM(I92,I95:I97)</f>
        <v>0.19955638937003858</v>
      </c>
      <c r="J91" s="446">
        <f t="shared" ref="J91:J97" si="32">I91/$I$103</f>
        <v>4.8293794953038205E-3</v>
      </c>
      <c r="K91" s="296">
        <f>SUM(K92,K95:K97)</f>
        <v>6.90724546348091E-2</v>
      </c>
      <c r="L91" s="461">
        <f t="shared" ref="L91:L97" si="33">K91/$K$103</f>
        <v>1.5231296866974168E-3</v>
      </c>
      <c r="M91" s="459">
        <f>((M.s3RD+M.s3RS+M.s3RA+M.s3RP)*Molweight*1000/(VOLUME.s3R))/(FRACw.s3R*1000+(1-FRACa.s3R-FRACw.s3R)*RHOsolid)</f>
        <v>9.3576885298118613E-5</v>
      </c>
      <c r="N91" s="459">
        <f>((M.s3CD+M.s3CS+M.s3CA+M.s3CP)*Molweight*1000/(VOLUME.s3C))/(FRACw.s3C*1000+(1-FRACa.s3C-FRACw.s3C)*RHOsolid)</f>
        <v>8.2428127649283258E-8</v>
      </c>
      <c r="O91" s="459">
        <f>((M.sMD+M.sMS+M.sMA+M.sMP)*Molweight*1000/(VOLUME.sM))/(FRACw.sM*1000+(1-FRACa.sM-FRACw.sM)*RHOsolid)</f>
        <v>3.1039089215386045E-11</v>
      </c>
      <c r="P91" s="459">
        <f>((M.sAD+M.sAS+M.sAA+M.sAP)*Molweight*1000/(VOLUME.sA))/(FRACw.sA*1000+(1-FRACa.sA-FRACw.sA)*RHOsolid)</f>
        <v>1.3810130752251805E-13</v>
      </c>
      <c r="Q91" s="459">
        <f>((M.sTD+M.sTS+M.sTA+M.sTP)*Molweight*1000/(VOLUME.sT))/(FRACw.sT*1000+(1-FRACa.sT-FRACw.sT)*RHOsolid)</f>
        <v>2.1244891852305747E-14</v>
      </c>
      <c r="R91" s="160" t="s">
        <v>175</v>
      </c>
      <c r="S91" s="163"/>
      <c r="T91" s="163"/>
      <c r="U91" s="163"/>
      <c r="V91" s="163"/>
      <c r="W91" s="162"/>
      <c r="X91" s="166"/>
      <c r="Y91" s="156"/>
      <c r="Z91" s="17"/>
      <c r="AA91" s="312" t="s">
        <v>206</v>
      </c>
      <c r="AB91" s="162" t="s">
        <v>197</v>
      </c>
      <c r="AC91" s="161">
        <f>E.sAS*Molweight</f>
        <v>0</v>
      </c>
      <c r="AD91" s="163"/>
      <c r="AE91" s="163"/>
      <c r="AF91" s="163">
        <f>kleach.sA*(M.sAS+M.sAA)*Molweight</f>
        <v>6.772452581923418E-11</v>
      </c>
      <c r="AG91" s="163">
        <f>(kdis.s1S.s1D*M.sAS+kdis.s1A.s1D*M.sAA+kdis.s1P.s1D*M.sAP)*Molweight</f>
        <v>0</v>
      </c>
      <c r="AH91" s="162">
        <f>(kdegS.s1*C.sAS+kdegA.s1*C.sAA+kdegP.s1*C.sAP)*VOLUME.sA*Molweight</f>
        <v>5.3940092046721434E-9</v>
      </c>
      <c r="AI91" s="163"/>
      <c r="AJ91" s="163"/>
      <c r="AK91" s="163">
        <f>((k.aAS.sAS*M.aAS+k.aAA.sAA*M.aAA+k.aAP.sAP*M.aAP)+(k.cwAS.sAS*M.cwAS+k.cwAA.sAA*M.cwAA+k.cwAP.sAP*M.cwAP))*Molweight</f>
        <v>1.5516741314126403E-8</v>
      </c>
      <c r="AL91" s="163"/>
      <c r="AM91" s="163">
        <f>AM88</f>
        <v>1.0055007583635024E-8</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6.6427600483714386E-8</v>
      </c>
      <c r="AE93" s="163">
        <f>k.aT.aM*(M.aTS+M.aTA+M.aTP)*Molweight</f>
        <v>5.8574142989676894E-11</v>
      </c>
      <c r="AF93" s="163">
        <f>kesc.aT*VOLUME.aT*(C.aTS+C.aTA+C.aTP)*Molweight</f>
        <v>5.3680133660364608E-14</v>
      </c>
      <c r="AG93" s="163"/>
      <c r="AH93" s="162">
        <f>(kdegS.a*C.aTS+kdegA.a*C.aTA+kdegP.a*C.aTP)*VOLUME.aT*Molweight</f>
        <v>0</v>
      </c>
      <c r="AI93" s="163">
        <f>SUM(AI94,AK97)</f>
        <v>6.6368972660591051E-8</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7.2671203778990061E-8</v>
      </c>
      <c r="AE94" s="163">
        <f>(k.w2T.w2M*(M.w2TS+M.w2TA+M.w2TP)+k.w2TS.w3TS*M.w2TS+k.w2TA.w3TA*M.w2TA+k.w2TP.w3TP*M.w2TP)*Molweight</f>
        <v>1.362028471839918E-7</v>
      </c>
      <c r="AF94" s="163"/>
      <c r="AG94" s="163">
        <f>(kdis.w2S.w2D*M.w2TS+kdis.w2A.w2D*M.w2TA+kdis.w2P.w2D*M.w2TP)*Molweight</f>
        <v>0</v>
      </c>
      <c r="AH94" s="162">
        <f>(kdegS.w2*C.w2TS+kdegA.w2*C.w2TA+kdegP.w2*C.w2TP)*VOLUME.w2T*Molweight</f>
        <v>8.4841283316770094E-10</v>
      </c>
      <c r="AI94" s="163">
        <f>((k.aTS.w2TS*M.aTS+k.aTA.w2TA*M.aTA+k.aTP.w2TP*M.aTP)+(k.cwTS.w2TS*M.cwTS+k.cwTA.w2TA*M.cwTA+k.cwTP.w2TP*M.cwTP))*Molweight</f>
        <v>4.6288962818640528E-8</v>
      </c>
      <c r="AJ94" s="163"/>
      <c r="AK94" s="163"/>
      <c r="AL94" s="163"/>
      <c r="AM94" s="163">
        <f>(k.sTS.w2TS*M.sTS+k.sTA.w2TA*M.sTA+k.sTP.w2TP*M.sTP)*Molweight</f>
        <v>1.809109341952894E-8</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2.6020204221778938E-5</v>
      </c>
      <c r="D95" s="446">
        <f t="shared" si="30"/>
        <v>8.1295155113957556E-13</v>
      </c>
      <c r="E95" s="295">
        <f>M.s3CS*Molweight</f>
        <v>8.3013890043057606E-9</v>
      </c>
      <c r="F95" s="446">
        <f t="shared" si="34"/>
        <v>2.8055217247296593E-14</v>
      </c>
      <c r="G95" s="296">
        <f>M.sMS*Molweight</f>
        <v>8.2493716567121488E-12</v>
      </c>
      <c r="H95" s="446">
        <f t="shared" si="31"/>
        <v>1.8843795659602675E-15</v>
      </c>
      <c r="I95" s="296">
        <f>M.sAS*Molweight</f>
        <v>1.2790383676211861E-16</v>
      </c>
      <c r="J95" s="446">
        <f t="shared" si="32"/>
        <v>3.0953464761494808E-18</v>
      </c>
      <c r="K95" s="296">
        <f>M.sTS*Molweight</f>
        <v>2.8730187055872662E-16</v>
      </c>
      <c r="L95" s="461">
        <f t="shared" si="33"/>
        <v>6.3353475767627824E-18</v>
      </c>
      <c r="M95" s="124">
        <f>C.s3RS*(Molweight*1000)/(FRACw.s3R*1000+(1-FRACa.s3R-FRACw.s3R)*RHOsolid)</f>
        <v>1.3392835878198692E-14</v>
      </c>
      <c r="N95" s="124">
        <f>C.s3CS*(Molweight*1000)/(FRACw.s3C*1000+(1-FRACa.s3C-FRACw.s3C)*RHOsolid)</f>
        <v>2.8017178083519611E-19</v>
      </c>
      <c r="O95" s="124">
        <f>C.sMS*(Molweight*1000)/(FRACw.sM*1000+(1-FRACa.sM-FRACw.sM)*RHOsolid)</f>
        <v>2.5022548646401163E-24</v>
      </c>
      <c r="P95" s="124">
        <f>C.sAS*(Molweight*1000)/(FRACw.sA*1000+(1-FRACa.sA-FRACw.sA)*RHOsolid)</f>
        <v>8.851476592534158E-29</v>
      </c>
      <c r="Q95" s="124">
        <f>C.sTS*(Molweight*1000)/(FRACw.sT*1000+(1-FRACa.sT-FRACw.sT)*RHOsolid)</f>
        <v>8.8366588407143882E-29</v>
      </c>
      <c r="R95" s="160" t="s">
        <v>237</v>
      </c>
      <c r="S95" s="163"/>
      <c r="T95" s="163"/>
      <c r="U95" s="163"/>
      <c r="V95" s="163"/>
      <c r="W95" s="162"/>
      <c r="X95" s="166"/>
      <c r="Y95" s="156"/>
      <c r="Z95" s="17"/>
      <c r="AA95" s="312" t="s">
        <v>189</v>
      </c>
      <c r="AB95" s="162" t="s">
        <v>200</v>
      </c>
      <c r="AC95" s="161"/>
      <c r="AD95" s="163">
        <f>(k.w2TS.w3TS*M.w2TS+k.w2TA.w3TA*M.w2TA+k.w2TP.w3TP*M.w2TP+k.w3M.w3T*(M.w3MS+M.w3MA+M.w3MP))*Molweight</f>
        <v>1.2964451009250456E-6</v>
      </c>
      <c r="AE95" s="163">
        <f>(k.w3T.w2T+k.w3T.w3M)*(M.w3TS+M.w3TA+M.w3TP)*Molweight</f>
        <v>7.2671203778990061E-8</v>
      </c>
      <c r="AF95" s="163"/>
      <c r="AG95" s="163">
        <f>(kdis.w2S.w2D*M.w3TS+kdis.w2A.w2D*M.w3TA+kdis.w2P.w2D*M.w3TP)*Molweight</f>
        <v>0</v>
      </c>
      <c r="AH95" s="162">
        <f>(kdegS.w3*C.w3TS+kdegA.w3*C.w3TA+kdegP.w3*C.w3TP)*VOLUME.w3T*Molweight</f>
        <v>2.5999179764001343E-7</v>
      </c>
      <c r="AI95" s="163"/>
      <c r="AJ95" s="163"/>
      <c r="AK95" s="163"/>
      <c r="AL95" s="163"/>
      <c r="AM95" s="163"/>
      <c r="AN95" s="163">
        <f>(k.w3TS.sdTS*M.w3TS+k.w3TA.sdTA*M.w3TA+k.w3TP.sdTP*M.w3TP)*Molweight</f>
        <v>1.3132431119698902E-6</v>
      </c>
      <c r="AO95" s="162">
        <f>(k.sdTS.w3TS*M.sdTS+k.sdTA.w3TA*M.sdTA+k.sdTP.w3TP*M.sdTP)*Molweight</f>
        <v>3.4946101246384824E-7</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181788.67650140281</v>
      </c>
      <c r="D96" s="446">
        <f t="shared" si="30"/>
        <v>5.6796397630780081E-3</v>
      </c>
      <c r="E96" s="295">
        <f>M.s3CA*Molweight</f>
        <v>2442.3043820617131</v>
      </c>
      <c r="F96" s="446">
        <f t="shared" si="34"/>
        <v>8.2539656902268065E-3</v>
      </c>
      <c r="G96" s="296">
        <f>M.sMA*Molweight</f>
        <v>102.32775557535588</v>
      </c>
      <c r="H96" s="446">
        <f t="shared" si="31"/>
        <v>2.3374426521307817E-2</v>
      </c>
      <c r="I96" s="296">
        <f>M.sAA*Molweight</f>
        <v>0.19955190092175204</v>
      </c>
      <c r="J96" s="446">
        <f t="shared" si="32"/>
        <v>4.829270872271558E-3</v>
      </c>
      <c r="K96" s="296">
        <f>M.sTA*Molweight</f>
        <v>6.9066493852156283E-2</v>
      </c>
      <c r="L96" s="461">
        <f t="shared" si="33"/>
        <v>1.5229982443581737E-3</v>
      </c>
      <c r="M96" s="124">
        <f>C.s3RA*(Molweight*1000)/(FRACw.s3R*1000+(1-FRACa.s3R-FRACw.s3R)*RHOsolid)</f>
        <v>9.3568285942215038E-5</v>
      </c>
      <c r="N96" s="124">
        <f>C.s3CA*(Molweight*1000)/(FRACw.s3C*1000+(1-FRACa.s3C-FRACw.s3C)*RHOsolid)</f>
        <v>8.2427744044872404E-8</v>
      </c>
      <c r="O96" s="124">
        <f>C.sMA*(Molweight*1000)/(FRACw.sM*1000+(1-FRACa.sM-FRACw.sM)*RHOsolid)</f>
        <v>3.1038742686275062E-11</v>
      </c>
      <c r="P96" s="124">
        <f>C.sAA*(Molweight*1000)/(FRACw.sA*1000+(1-FRACa.sA-FRACw.sA)*RHOsolid)</f>
        <v>1.380982013299322E-13</v>
      </c>
      <c r="Q96" s="124">
        <f>C.sTA*(Molweight*1000)/(FRACw.sT*1000+(1-FRACa.sT-FRACw.sT)*RHOsolid)</f>
        <v>2.1243058470482511E-14</v>
      </c>
      <c r="R96" s="160" t="s">
        <v>237</v>
      </c>
      <c r="S96" s="163"/>
      <c r="T96" s="163"/>
      <c r="U96" s="163"/>
      <c r="V96" s="163"/>
      <c r="W96" s="162"/>
      <c r="X96" s="166"/>
      <c r="Y96" s="156"/>
      <c r="Z96" s="17"/>
      <c r="AA96" s="312" t="s">
        <v>205</v>
      </c>
      <c r="AB96" s="162" t="s">
        <v>201</v>
      </c>
      <c r="AC96" s="161"/>
      <c r="AD96" s="163"/>
      <c r="AE96" s="163"/>
      <c r="AF96" s="163">
        <f>kbur.sdT*(M.sdTS+M.sdTA+M.sdTP)*Molweight</f>
        <v>4.5223671268670305E-11</v>
      </c>
      <c r="AG96" s="163">
        <f>(kdis.sd2S.sd2D*M.sdTS+kdis.sd2A.sd2D*M.sdTA+kdis.sd2P.sd2D*M.sdTP)*Molweight</f>
        <v>0</v>
      </c>
      <c r="AH96" s="162">
        <f>(kdegS.sd2*C.sdTS+kdegA.sd2*C.sdTA+kdegP.sd2*C.sdTP)*VOLUME.sdT*Molweight</f>
        <v>9.6373687583477343E-7</v>
      </c>
      <c r="AI96" s="163"/>
      <c r="AJ96" s="163"/>
      <c r="AK96" s="163"/>
      <c r="AL96" s="163"/>
      <c r="AM96" s="163"/>
      <c r="AN96" s="163">
        <f>AN95</f>
        <v>1.3132431119698902E-6</v>
      </c>
      <c r="AO96" s="162">
        <f>AO95</f>
        <v>3.4946101246384824E-7</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16.707189600269324</v>
      </c>
      <c r="D97" s="446">
        <f t="shared" si="30"/>
        <v>5.2198420830816036E-7</v>
      </c>
      <c r="E97" s="295">
        <f>M.s3CP*Molweight</f>
        <v>1.1366052294749849E-2</v>
      </c>
      <c r="F97" s="446">
        <f t="shared" si="34"/>
        <v>3.8412495331557888E-8</v>
      </c>
      <c r="G97" s="296">
        <f>M.sMP*Molweight</f>
        <v>1.1424285535917504E-3</v>
      </c>
      <c r="H97" s="446">
        <f t="shared" si="31"/>
        <v>2.6096157520145501E-7</v>
      </c>
      <c r="I97" s="296">
        <f>M.sAP*Molweight</f>
        <v>4.4884482864049759E-6</v>
      </c>
      <c r="J97" s="446">
        <f t="shared" si="32"/>
        <v>1.0862303225932319E-7</v>
      </c>
      <c r="K97" s="296">
        <f>M.sTP*Molweight</f>
        <v>5.9607826525239305E-6</v>
      </c>
      <c r="L97" s="461">
        <f t="shared" si="33"/>
        <v>1.3144233923655556E-7</v>
      </c>
      <c r="M97" s="124">
        <f>C.s3RP*(Molweight*1000)/(FRACw.s3R*1000+(1-FRACa.s3R-FRACw.s3R)*RHOsolid)</f>
        <v>8.5993425107351961E-9</v>
      </c>
      <c r="N97" s="124">
        <f>C.s3CP*(Molweight*1000)/(FRACw.s3C*1000+(1-FRACa.s3C-FRACw.s3C)*RHOsolid)</f>
        <v>3.8360413068636165E-13</v>
      </c>
      <c r="O97" s="124">
        <f>C.sMP*(Molweight*1000)/(FRACw.sM*1000+(1-FRACa.sM-FRACw.sM)*RHOsolid)</f>
        <v>3.4652910848098033E-16</v>
      </c>
      <c r="P97" s="124">
        <f>C.sAP*(Molweight*1000)/(FRACw.sA*1000+(1-FRACa.sA-FRACw.sA)*RHOsolid)</f>
        <v>3.106192585747388E-18</v>
      </c>
      <c r="Q97" s="124">
        <f>C.sTP*(Molweight*1000)/(FRACw.sT*1000+(1-FRACa.sT-FRACw.sT)*RHOsolid)</f>
        <v>1.8333818231523042E-18</v>
      </c>
      <c r="R97" s="160" t="s">
        <v>237</v>
      </c>
      <c r="S97" s="163"/>
      <c r="T97" s="163"/>
      <c r="U97" s="163"/>
      <c r="V97" s="163"/>
      <c r="W97" s="162"/>
      <c r="X97" s="166"/>
      <c r="Y97" s="156"/>
      <c r="Z97" s="17"/>
      <c r="AA97" s="312" t="s">
        <v>206</v>
      </c>
      <c r="AB97" s="162" t="s">
        <v>202</v>
      </c>
      <c r="AC97" s="161">
        <f>E.sTS*Molweight</f>
        <v>0</v>
      </c>
      <c r="AD97" s="163"/>
      <c r="AE97" s="163"/>
      <c r="AF97" s="163">
        <f>kleach.sT*(M.sTS+M.sTA)*Molweight</f>
        <v>1.2188797364268717E-10</v>
      </c>
      <c r="AG97" s="163">
        <f>(kdis.s1S.s1D*M.sTS+kdis.s1A.s1D*M.sTA+kdis.s1P.s1D*M.sTP)*Molweight</f>
        <v>0</v>
      </c>
      <c r="AH97" s="162">
        <f>(kdegS.s1*C.sTS+kdegA.s1*C.sTA+kdegP.s1*C.sTP)*VOLUME.sT*Molweight</f>
        <v>1.8670284487788898E-9</v>
      </c>
      <c r="AI97" s="163"/>
      <c r="AJ97" s="163"/>
      <c r="AK97" s="163">
        <f>((k.aTS.sTS*M.aTS+k.aTA.sTA*M.aTA+k.aTP.sTP*M.aTP)+(k.cwTS.sTS*M.cwTS+k.cwTA.sTA*M.cwTA+k.cwTP.sTP*M.cwTP))*Molweight</f>
        <v>2.0080009841950516E-8</v>
      </c>
      <c r="AL97" s="163"/>
      <c r="AM97" s="163">
        <f>AM94</f>
        <v>1.809109341952894E-8</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7.4456999503567489E-2</v>
      </c>
      <c r="AG98" s="914"/>
      <c r="AH98" s="915">
        <f>SUM(AH60:AH97)</f>
        <v>0.83891839580056893</v>
      </c>
      <c r="AI98" s="929"/>
      <c r="AJ98" s="930"/>
      <c r="AK98" s="930"/>
      <c r="AL98" s="929"/>
      <c r="AM98" s="929"/>
      <c r="AN98" s="929"/>
      <c r="AO98" s="486"/>
      <c r="AP98" s="931">
        <f>SUM(AP61:AP97)</f>
        <v>-2.9399880260957429E-2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91.416130908950763</v>
      </c>
      <c r="D100" s="446">
        <f>C100/$C$103</f>
        <v>2.8561222958967671E-6</v>
      </c>
      <c r="E100" s="453">
        <f>SUM(E15,E23,E31,E39,E47,E55,E71,E79,E87,E95)</f>
        <v>5.9771372830474269E-2</v>
      </c>
      <c r="F100" s="446">
        <f>E100/$E$103</f>
        <v>2.0200220096400057E-7</v>
      </c>
      <c r="G100" s="453">
        <f>SUM(G15,G55,G71,G63,G95)</f>
        <v>5.7519017759117422E-6</v>
      </c>
      <c r="H100" s="446">
        <f>G100/$G$103</f>
        <v>1.3138899085871146E-9</v>
      </c>
      <c r="I100" s="453">
        <f>SUM(I15,I55,I71,I63,I95)</f>
        <v>2.2160020641587756E-10</v>
      </c>
      <c r="J100" s="446">
        <f>I100/$I$103</f>
        <v>5.3628525571059057E-12</v>
      </c>
      <c r="K100" s="453">
        <f>SUM(K15,K55,K71,K63,K95)</f>
        <v>2.1318832917385618E-10</v>
      </c>
      <c r="L100" s="461">
        <f>K100/$K$103</f>
        <v>4.7010559381290869E-12</v>
      </c>
      <c r="M100" s="484">
        <f xml:space="preserve"> (M.aRS+M.cwRS+M.w0RS+M.w1RS+M.w2RS+M.sd0RS+M.sd1RS+M.sd2RS+M.s1RS+M.s2RS+M.s3RS)*Molweight/(VOLUME.aR+VOLUME.cwR+VOLUME.w0R+VOLUME.w1R+VOLUME.w2R+VOLUME.sd0R+VOLUME.sd1R+VOLUME.sd2R+VOLUME.s1R+VOLUME.s2R+VOLUME.s3R)</f>
        <v>3.9800152302379387E-13</v>
      </c>
      <c r="N100" s="484">
        <f xml:space="preserve"> (M.aCS+M.cwCS+M.w0CS+M.w1CS+M.w2CS+M.sd0CS+M.sd1CS+M.sd2CS+M.s1CS+M.s2CS+M.s3CS)*Molweight/(VOLUME.aC+VOLUME.cwC+VOLUME.w0C+VOLUME.w1C+VOLUME.w2C+VOLUME.sd0C+VOLUME.sd1C+VOLUME.sd2C+VOLUME.s1C+VOLUME.s2C+VOLUME.s3C)</f>
        <v>7.5243854044848895E-18</v>
      </c>
      <c r="O100" s="484">
        <f xml:space="preserve"> (M.aMS+M.cwMS+M.w2MS+M.w3MS+M.sdMS+M.sMS)*Molweight/(VOLUME.aM+VOLUME.cwM+VOLUME.w2M+VOLUME.w3M+VOLUME.sdM+VOLUME.sM)</f>
        <v>2.9077969074399982E-23</v>
      </c>
      <c r="P100" s="484">
        <f xml:space="preserve"> (M.aAS+M.cwAS+M.w2AS+M.w3AS+M.sdAS+M.sAS)*Molweight/(VOLUME.aA+VOLUME.cwA+VOLUME.w2A+VOLUME.w3A+VOLUME.sdA+VOLUME.sA)</f>
        <v>1.823095533661848E-27</v>
      </c>
      <c r="Q100" s="484">
        <f xml:space="preserve"> (M.aTS+M.cwTS+M.w2TS+M.w3TS+M.sdTS+M.sTS)*Molweight/(VOLUME.aT+VOLUME.cwT+VOLUME.w2T+VOLUME.w3T+VOLUME.sdT+VOLUME.sT)</f>
        <v>5.2745941271765415E-28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31978916.706920318</v>
      </c>
      <c r="D101" s="446">
        <f>C101/$C$103</f>
        <v>0.99912013445668435</v>
      </c>
      <c r="E101" s="453">
        <f>SUM(E16,E24,E32,E40,E48,E56,E72,E80,E88,E96)</f>
        <v>295893.43314625602</v>
      </c>
      <c r="F101" s="446">
        <f>E101/$E$103</f>
        <v>0.99999584944891762</v>
      </c>
      <c r="G101" s="453">
        <f>SUM(G16,G56,G64,G72,G96)</f>
        <v>4377.7420119778772</v>
      </c>
      <c r="H101" s="446">
        <f>G101/$G$103</f>
        <v>0.99999465846647695</v>
      </c>
      <c r="I101" s="453">
        <f>SUM(I16,I56,I64,I72,I96)</f>
        <v>41.321113957436431</v>
      </c>
      <c r="J101" s="446">
        <f>I101/$I$103</f>
        <v>0.99999474383713849</v>
      </c>
      <c r="K101" s="453">
        <f>SUM(K16,K56,K64,K72,K96)</f>
        <v>45.34878890170684</v>
      </c>
      <c r="L101" s="461">
        <f>K101/$K$103</f>
        <v>0.99999467221996063</v>
      </c>
      <c r="M101" s="484">
        <f xml:space="preserve"> (M.aRA+M.cwRA+M.w0RA+M.w1RA+M.w2RA+M.sd0RA+M.sd1RA+M.sd2RA+M.s1RA+M.s2RA+M.s3RA)*Molweight/(VOLUME.aR+VOLUME.cwR+VOLUME.w0R+VOLUME.w1R+VOLUME.w2R+VOLUME.sd0R+VOLUME.sd1R+VOLUME.sd2R+VOLUME.s1R+VOLUME.s2R+VOLUME.s3R)</f>
        <v>1.3922769895700262E-7</v>
      </c>
      <c r="N101" s="484">
        <f xml:space="preserve"> (M.aCA+M.cwCA+M.w0CA+M.w1CA+M.w2CA+M.sd0CA+M.sd1CA+M.sd2CA+M.s1CA+M.s2CA+M.s3CA)*Molweight/(VOLUME.aC+VOLUME.cwC+VOLUME.w0C+VOLUME.w1C+VOLUME.w2C+VOLUME.sd0C+VOLUME.sd1C+VOLUME.sd2C+VOLUME.s1C+VOLUME.s2C+VOLUME.s3C)</f>
        <v>3.7248872231247829E-11</v>
      </c>
      <c r="O101" s="484">
        <f xml:space="preserve"> (M.aMA+M.cwMA+M.w2MA+M.w3MA+M.sdMA+M.sMA)*Molweight/(VOLUME.aM+VOLUME.cwM+VOLUME.w2M+VOLUME.w3M+VOLUME.sdM+VOLUME.sM)</f>
        <v>2.2131088429411924E-14</v>
      </c>
      <c r="P101" s="484">
        <f xml:space="preserve"> (M.aAA+M.cwAA+M.w2AA+M.w3AA+M.sdAA+M.sAA)*Molweight/(VOLUME.aA+VOLUME.cwA+VOLUME.w2A+VOLUME.w3A+VOLUME.sdA+VOLUME.sA)</f>
        <v>3.3994705835408054E-16</v>
      </c>
      <c r="Q101" s="484">
        <f xml:space="preserve"> (M.aTA+M.cwTA+M.w2TA+M.w3TA+M.sdTA+M.sTA)*Molweight/(VOLUME.aT+VOLUME.cwT+VOLUME.w2T+VOLUME.w3T+VOLUME.sdT+VOLUME.sT)</f>
        <v>1.121996014239812E-16</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28070.509500067878</v>
      </c>
      <c r="D102" s="446">
        <f>C102/$C$103</f>
        <v>8.7700942101976429E-4</v>
      </c>
      <c r="E102" s="453">
        <f>SUM(E17,E25,E33,E41,E49,E57,E73,E81,E89,E97)</f>
        <v>1.1683545338103634</v>
      </c>
      <c r="F102" s="446">
        <f>E102/$E$103</f>
        <v>3.9485488815079226E-6</v>
      </c>
      <c r="G102" s="453">
        <f>SUM(G17,G57,G65,G73,G97)</f>
        <v>2.3378228716930179E-2</v>
      </c>
      <c r="H102" s="446">
        <f>G102/$G$103</f>
        <v>5.3402196331746553E-6</v>
      </c>
      <c r="I102" s="453">
        <f>SUM(I17,I57,I65,I73,I97)</f>
        <v>2.171914245731106E-4</v>
      </c>
      <c r="J102" s="446">
        <f>I102/$I$103</f>
        <v>5.2561574986417778E-6</v>
      </c>
      <c r="K102" s="453">
        <f>SUM(K17,K57,K65,K73,K97)</f>
        <v>2.4160944636882216E-4</v>
      </c>
      <c r="L102" s="461">
        <f>K102/$K$103</f>
        <v>5.327775338179821E-6</v>
      </c>
      <c r="M102" s="484">
        <f xml:space="preserve"> (M.aRP+M.cwRP+M.w0RP+M.w1RP+M.w2RP+M.sd0RP+M.sd1RP+M.sd2RP+M.s1RP+M.s2RP+M.s3RP)*Molweight/(VOLUME.aR+VOLUME.cwR+VOLUME.w0R+VOLUME.w1R+VOLUME.w2R+VOLUME.sd0R+VOLUME.sd1R+VOLUME.sd2R+VOLUME.s1R+VOLUME.s2R+VOLUME.s3R)</f>
        <v>1.2221153336940235E-10</v>
      </c>
      <c r="N102" s="484">
        <f xml:space="preserve"> (M.aCP+M.cwCP+M.w0CP+M.w1CP+M.w2CP+M.sd0CP+M.sd1CP+M.sd2CP+M.s1CP+M.s2CP+M.s3CP)*Molweight/(VOLUME.aC+VOLUME.cwC+VOLUME.w0C+VOLUME.w1C+VOLUME.w2C+VOLUME.sd0C+VOLUME.sd1C+VOLUME.sd2C+VOLUME.s1C+VOLUME.s2C+VOLUME.s3C)</f>
        <v>1.4707960324753163E-16</v>
      </c>
      <c r="O102" s="484">
        <f xml:space="preserve"> (M.aMP+M.cwMP+M.w2MP+M.w3MP+M.sdMP+M.sMP)*Molweight/(VOLUME.aM+VOLUME.cwM+VOLUME.w2M+VOLUME.w3M+VOLUME.sdM+VOLUME.sM)</f>
        <v>1.1818550422610274E-19</v>
      </c>
      <c r="P102" s="484">
        <f xml:space="preserve"> (M.aAP+M.cwAP+M.w2AP+M.w3AP+M.sdAP+M.sAP)*Molweight/(VOLUME.aA+VOLUME.cwA+VOLUME.w2A+VOLUME.w3A+VOLUME.sdA+VOLUME.sA)</f>
        <v>1.7868246717504941E-21</v>
      </c>
      <c r="Q102" s="484">
        <f xml:space="preserve"> (M.aTP+M.cwTP+M.w2TP+M.w3TP+M.sdTP+M.sTP)*Molweight/(VOLUME.aT+VOLUME.cwT+VOLUME.w2T+VOLUME.w3T+VOLUME.sdT+VOLUME.sT)</f>
        <v>5.977774542470813E-22</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32007078.632551294</v>
      </c>
      <c r="D103" s="770"/>
      <c r="E103" s="772">
        <f>SUM(E99:E102)</f>
        <v>295894.66127216263</v>
      </c>
      <c r="F103" s="770"/>
      <c r="G103" s="772">
        <f>SUM(G99:G102)</f>
        <v>4377.7653959584959</v>
      </c>
      <c r="H103" s="770"/>
      <c r="I103" s="772">
        <f>SUM(I99:I102)</f>
        <v>41.321331149082603</v>
      </c>
      <c r="J103" s="770"/>
      <c r="K103" s="772">
        <f>SUM(K99:K102)</f>
        <v>45.349030511366401</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1.3935030849189503E-7</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3.7249026835236473E-11</v>
      </c>
      <c r="O103" s="767">
        <f xml:space="preserve"> (M.aMG+M.aMS+M.aMA+M.aMP+M.cwMS+M.cwMA+M.cwMP+M.w2MD+M.w2MS+M.w2MA+M.w2MP+M.w3MD+M.w3MS+M.w3MA+M.w3MP+M.sdMD+M.sdMS+M.sdMA+M.sdMP+M.sMD+M.sMS+M.sMA+M.sMP)*Molweight/(VOLUME.aM+VOLUME.cwM+VOLUME.w2M+VOLUME.w3M+VOLUME.sdM+VOLUME.sM)</f>
        <v>2.2131206643994119E-14</v>
      </c>
      <c r="P103" s="767">
        <f xml:space="preserve"> (M.aAG+M.aAS+M.aAA+M.aAP+M.cwAS+M.cwAA+M.cwAP+M.w2AD+M.w2AS+M.w2AA+M.w2AP+M.w3AD+M.w3AS+M.w3AA+M.w3AP+M.sdAD+M.sdAS+M.sdAA+M.sdAP+M.sAD+M.sAS+M.sAA+M.sAP)*Molweight/(VOLUME.aA+VOLUME.cwA+VOLUME.w2A+VOLUME.w3A+VOLUME.sdA+VOLUME.sA)</f>
        <v>3.3994884518057538E-16</v>
      </c>
      <c r="Q103" s="767">
        <f xml:space="preserve"> (M.aTG+M.aTS+M.aTA+M.aTP+M.cwTS+M.cwTA+M.cwTP+M.w2TD+M.w2TS+M.w2TA+M.w2TP+M.w3TD+M.w3TS+M.w3TA+M.w3TP+M.sdTD+M.sdTS+M.sdTA+M.sdTP+M.sTD+M.sTS+M.sTA+M.sTP)*Molweight/(VOLUME.aT+VOLUME.cwT+VOLUME.w2T+VOLUME.w3T+VOLUME.sdT+VOLUME.sT)</f>
        <v>1.1220019920196288E-16</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3.9800152302379397E-13</v>
      </c>
      <c r="N106" s="765">
        <f>E100/(VOLUME.aC+VOLUME.cwC+VOLUME.s1C+VOLUME.s2C+VOLUME.s3C+VOLUME.sd0C+VOLUME.sd1C+VOLUME.sd2C+VOLUME.w0C+VOLUME.w1C+VOLUME.w2C)</f>
        <v>7.5243854044848895E-18</v>
      </c>
      <c r="O106" s="765">
        <f>G100/(VOLUME.aM+VOLUME.cwM+VOLUME.sdM+VOLUME.sM+VOLUME.w2M+VOLUME.w3M)</f>
        <v>2.9077969074399976E-23</v>
      </c>
      <c r="P106" s="765">
        <f>I100/(VOLUME.aA+VOLUME.cwA+VOLUME.sdA+VOLUME.sA+VOLUME.w2A+VOLUME.w3A)</f>
        <v>1.8230955336618483E-27</v>
      </c>
      <c r="Q106" s="765">
        <f>K100/(VOLUME.aT+VOLUME.cwT+VOLUME.sdT+VOLUME.sT+VOLUME.w2T+VOLUME.w3T)</f>
        <v>5.2745941271765415E-28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1.392276989570026E-7</v>
      </c>
      <c r="N107" s="765">
        <f>E101/(VOLUME.aC+VOLUME.cwC+VOLUME.s1C+VOLUME.s2C+VOLUME.s3C+VOLUME.sd0C+VOLUME.sd1C+VOLUME.sd2C+VOLUME.w0C+VOLUME.w1C+VOLUME.w2C)</f>
        <v>3.7248872231247836E-11</v>
      </c>
      <c r="O107" s="765">
        <f>G101/(VOLUME.aM+VOLUME.cwM+VOLUME.sdM+VOLUME.sM+VOLUME.w2M+VOLUME.w3M)</f>
        <v>2.2131088429411924E-14</v>
      </c>
      <c r="P107" s="765">
        <f>I101/(VOLUME.aA+VOLUME.cwA+VOLUME.sdA+VOLUME.sA+VOLUME.w2A+VOLUME.w3A)</f>
        <v>3.3994705835408054E-16</v>
      </c>
      <c r="Q107" s="765">
        <f>K101/(VOLUME.aT+VOLUME.cwT+VOLUME.sdT+VOLUME.sT+VOLUME.w2T+VOLUME.w3T)</f>
        <v>1.1219960142398118E-16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1.2221153336940238E-10</v>
      </c>
      <c r="N108" s="765">
        <f>E102/(VOLUME.aC+VOLUME.cwC+VOLUME.s1C+VOLUME.s2C+VOLUME.s3C+VOLUME.sd0C+VOLUME.sd1C+VOLUME.sd2C+VOLUME.w0C+VOLUME.w1C+VOLUME.w2C)</f>
        <v>1.4707960324753161E-16</v>
      </c>
      <c r="O108" s="765">
        <f>G102/(VOLUME.aM+VOLUME.cwM+VOLUME.sdM+VOLUME.sM+VOLUME.w2M+VOLUME.w3M)</f>
        <v>1.1818550422610277E-19</v>
      </c>
      <c r="P108" s="765">
        <f>I102/(VOLUME.aA+VOLUME.cwA+VOLUME.sdA+VOLUME.sA+VOLUME.w2A+VOLUME.w3A)</f>
        <v>1.7868246717504941E-21</v>
      </c>
      <c r="Q108" s="765">
        <f>K102/(VOLUME.aT+VOLUME.cwT+VOLUME.sdT+VOLUME.sT+VOLUME.w2T+VOLUME.w3T)</f>
        <v>5.9777745424708121E-22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1.3935030849189503E-7</v>
      </c>
      <c r="N109" s="765">
        <f>E103/(VOLUME.aC+VOLUME.cwC+VOLUME.s1C+VOLUME.s2C+VOLUME.s3C+VOLUME.sd0C+VOLUME.sd1C+VOLUME.sd2C+VOLUME.w0C+VOLUME.w1C+VOLUME.w2C)</f>
        <v>3.7249026835236486E-11</v>
      </c>
      <c r="O109" s="765">
        <f>G103/(VOLUME.aM+VOLUME.cwM+VOLUME.sdM+VOLUME.sM+VOLUME.w2M+VOLUME.w3M)</f>
        <v>2.2131206643994119E-14</v>
      </c>
      <c r="P109" s="765">
        <f>I103/(VOLUME.aA+VOLUME.cwA+VOLUME.sdA+VOLUME.sA+VOLUME.w2A+VOLUME.w3A)</f>
        <v>3.3994884518057538E-16</v>
      </c>
      <c r="Q109" s="765">
        <f>K103/(VOLUME.aT+VOLUME.cwT+VOLUME.sdT+VOLUME.sT+VOLUME.w2T+VOLUME.w3T)</f>
        <v>1.1220019920196291E-16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microplastic</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45488</v>
      </c>
      <c r="BU164" s="80"/>
      <c r="BV164" s="122"/>
      <c r="BW164" s="2"/>
      <c r="BX164" s="2"/>
      <c r="BY164" s="90" t="s">
        <v>263</v>
      </c>
      <c r="BZ164" s="2"/>
      <c r="CA164" s="89">
        <f>G60</f>
        <v>0</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1.6221197201474635E-8</v>
      </c>
      <c r="C4">
        <f>K4+K18+K32</f>
        <v>1.4289654922225165E-11</v>
      </c>
      <c r="D4">
        <f>L4+L18+L32</f>
        <v>5.3808839598108099E-15</v>
      </c>
      <c r="E4">
        <f>M4+M18+M32</f>
        <v>2.1894784410695014E-17</v>
      </c>
      <c r="F4">
        <f>N4+N18+N32</f>
        <v>4.0440082472812306E-18</v>
      </c>
      <c r="G4" s="160" t="s">
        <v>277</v>
      </c>
      <c r="I4" s="452" t="s">
        <v>136</v>
      </c>
      <c r="J4">
        <f>'all species output'!$M15</f>
        <v>3.9682840493326932E-10</v>
      </c>
      <c r="K4">
        <f>'all species output'!$N15</f>
        <v>8.3014622012429468E-15</v>
      </c>
      <c r="L4">
        <f>'all species output'!$O15</f>
        <v>7.4141564560011908E-20</v>
      </c>
      <c r="M4">
        <f>'all species output'!$P15</f>
        <v>5.2137681280563012E-24</v>
      </c>
      <c r="N4">
        <f>'all species output'!$Q15</f>
        <v>1.6716507525632702E-24</v>
      </c>
      <c r="O4" s="160" t="s">
        <v>137</v>
      </c>
      <c r="Q4" s="398"/>
      <c r="R4" t="s">
        <v>270</v>
      </c>
      <c r="S4" t="s">
        <v>271</v>
      </c>
      <c r="T4" t="s">
        <v>272</v>
      </c>
      <c r="U4" t="s">
        <v>273</v>
      </c>
      <c r="V4" t="s">
        <v>274</v>
      </c>
      <c r="W4" s="837"/>
    </row>
    <row r="5" spans="1:23" ht="14.5" x14ac:dyDescent="0.3">
      <c r="A5" s="104" t="s">
        <v>157</v>
      </c>
      <c r="B5">
        <f t="shared" ref="B5:C9" si="0">J5+J19+J33</f>
        <v>1.6048521055681658E-7</v>
      </c>
      <c r="C5">
        <f t="shared" si="0"/>
        <v>7.2438794690138097E-11</v>
      </c>
      <c r="G5" s="160" t="s">
        <v>234</v>
      </c>
      <c r="I5" s="104" t="s">
        <v>157</v>
      </c>
      <c r="J5">
        <f>'all species output'!$M23</f>
        <v>1.1100390898270241E-15</v>
      </c>
      <c r="K5">
        <f>'all species output'!$N23</f>
        <v>2.3221419260463914E-20</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4.5" x14ac:dyDescent="0.3">
      <c r="A6" s="104" t="s">
        <v>174</v>
      </c>
      <c r="B6">
        <f t="shared" si="0"/>
        <v>5.6468586780490625E-2</v>
      </c>
      <c r="C6">
        <f t="shared" si="0"/>
        <v>2.5506450138504998E-5</v>
      </c>
      <c r="G6" s="160" t="s">
        <v>237</v>
      </c>
      <c r="I6" s="104" t="s">
        <v>174</v>
      </c>
      <c r="J6">
        <f>'all species output'!$M31</f>
        <v>2.0140408050375311E-17</v>
      </c>
      <c r="K6">
        <f>'all species output'!$N31</f>
        <v>4.2132647734459832E-22</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4.5" x14ac:dyDescent="0.3">
      <c r="A7" s="104" t="s">
        <v>204</v>
      </c>
      <c r="B7">
        <f t="shared" si="0"/>
        <v>5.358263586837589E-7</v>
      </c>
      <c r="C7">
        <f t="shared" si="0"/>
        <v>1.3751917155251015E-10</v>
      </c>
      <c r="G7" s="160" t="s">
        <v>234</v>
      </c>
      <c r="I7" s="104" t="s">
        <v>204</v>
      </c>
      <c r="J7">
        <f>'all species output'!$M39</f>
        <v>1.6162749664501511E-11</v>
      </c>
      <c r="K7">
        <f>'all species output'!$N39</f>
        <v>2.2026354379532492E-19</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4.5" x14ac:dyDescent="0.3">
      <c r="A8" s="104" t="s">
        <v>209</v>
      </c>
      <c r="B8">
        <f t="shared" si="0"/>
        <v>9.9965050199547836E-2</v>
      </c>
      <c r="C8">
        <f t="shared" si="0"/>
        <v>2.5655732720354545E-5</v>
      </c>
      <c r="G8" s="160" t="s">
        <v>237</v>
      </c>
      <c r="I8" s="104" t="s">
        <v>209</v>
      </c>
      <c r="J8">
        <f>'all species output'!$M47</f>
        <v>2.9325486063466598E-13</v>
      </c>
      <c r="K8">
        <f>'all species output'!$N47</f>
        <v>3.9964335388094906E-21</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4.5" x14ac:dyDescent="0.3">
      <c r="A9" s="104" t="s">
        <v>220</v>
      </c>
      <c r="B9">
        <f t="shared" si="0"/>
        <v>6.3185558416734644E-9</v>
      </c>
      <c r="C9">
        <f t="shared" si="0"/>
        <v>3.6788837573469228E-12</v>
      </c>
      <c r="D9">
        <f t="shared" ref="D9:F11" si="1">L9+L23+L37</f>
        <v>7.3093216671415624E-15</v>
      </c>
      <c r="E9">
        <f t="shared" si="1"/>
        <v>1.074964242541363E-16</v>
      </c>
      <c r="F9">
        <f t="shared" si="1"/>
        <v>3.5077587239612643E-18</v>
      </c>
      <c r="G9" s="160" t="s">
        <v>234</v>
      </c>
      <c r="I9" s="104" t="s">
        <v>220</v>
      </c>
      <c r="J9">
        <f>'all species output'!$M55</f>
        <v>8.895870702656029E-15</v>
      </c>
      <c r="K9">
        <f>'all species output'!$N55</f>
        <v>9.2999895813056484E-21</v>
      </c>
      <c r="L9">
        <f>'all species output'!$O55</f>
        <v>1.6626506313761833E-25</v>
      </c>
      <c r="M9">
        <f>'all species output'!$P55</f>
        <v>5.8560353451942587E-30</v>
      </c>
      <c r="N9">
        <f>'all species output'!$Q55</f>
        <v>5.8902290433044327E-30</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4.5" x14ac:dyDescent="0.3">
      <c r="A10" s="104" t="s">
        <v>233</v>
      </c>
      <c r="D10">
        <f t="shared" si="1"/>
        <v>7.7384561169976544E-15</v>
      </c>
      <c r="E10">
        <f t="shared" si="1"/>
        <v>1.1321223497625017E-16</v>
      </c>
      <c r="F10">
        <f t="shared" si="1"/>
        <v>3.5831160675440538E-17</v>
      </c>
      <c r="G10" s="160" t="s">
        <v>234</v>
      </c>
      <c r="I10" s="104" t="s">
        <v>233</v>
      </c>
      <c r="L10">
        <f>'all species output'!$O63</f>
        <v>6.6324280497268839E-32</v>
      </c>
      <c r="M10">
        <f>'all species output'!$P63</f>
        <v>2.3468970941339057E-36</v>
      </c>
      <c r="N10">
        <f>'all species output'!$Q63</f>
        <v>2.3379129536848496E-36</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4.5" x14ac:dyDescent="0.3">
      <c r="A11" s="104" t="s">
        <v>236</v>
      </c>
      <c r="B11">
        <f t="shared" ref="B11:C14" si="2">J11+J25+J39</f>
        <v>1.8062906607484623E-3</v>
      </c>
      <c r="C11">
        <f t="shared" si="2"/>
        <v>1.0516829267980246E-6</v>
      </c>
      <c r="D11">
        <f t="shared" si="1"/>
        <v>2.2121933208195634E-9</v>
      </c>
      <c r="E11">
        <f t="shared" si="1"/>
        <v>3.2363994342728926E-11</v>
      </c>
      <c r="F11">
        <f t="shared" si="1"/>
        <v>1.0243293091494507E-11</v>
      </c>
      <c r="G11" s="160" t="s">
        <v>237</v>
      </c>
      <c r="I11" s="104" t="s">
        <v>236</v>
      </c>
      <c r="J11">
        <f>'all species output'!$M71</f>
        <v>1.614055445651624E-16</v>
      </c>
      <c r="K11">
        <f>'all species output'!$N71</f>
        <v>1.6873782600873492E-22</v>
      </c>
      <c r="L11">
        <f>'all species output'!$O71</f>
        <v>1.2033792946606168E-33</v>
      </c>
      <c r="M11">
        <f>'all species output'!$P71</f>
        <v>4.2582670797266318E-38</v>
      </c>
      <c r="N11">
        <f>'all species output'!$Q71</f>
        <v>4.2418249607405603E-38</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4.5" x14ac:dyDescent="0.3">
      <c r="A12" s="104" t="s">
        <v>238</v>
      </c>
      <c r="B12">
        <f t="shared" si="2"/>
        <v>9.35768852981186E-5</v>
      </c>
      <c r="C12">
        <f t="shared" si="2"/>
        <v>8.2428127649283258E-8</v>
      </c>
      <c r="G12" s="160" t="s">
        <v>237</v>
      </c>
      <c r="I12" s="104" t="s">
        <v>238</v>
      </c>
      <c r="J12">
        <f>'all species output'!$M79</f>
        <v>1.3392835878198687E-14</v>
      </c>
      <c r="K12">
        <f>'all species output'!$N79</f>
        <v>2.8017178083519611E-19</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4.5" x14ac:dyDescent="0.3">
      <c r="A13" s="104" t="s">
        <v>240</v>
      </c>
      <c r="B13">
        <f t="shared" si="2"/>
        <v>1.1745858711911012E-4</v>
      </c>
      <c r="C13">
        <f t="shared" si="2"/>
        <v>3.8008098608187745E-8</v>
      </c>
      <c r="G13" s="160" t="s">
        <v>237</v>
      </c>
      <c r="I13" s="104" t="s">
        <v>240</v>
      </c>
      <c r="J13">
        <f>'all species output'!$M87</f>
        <v>2.3874040466437795E-13</v>
      </c>
      <c r="K13">
        <f>'all species output'!$N87</f>
        <v>7.0042945396420632E-20</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4.5" x14ac:dyDescent="0.3">
      <c r="A14" s="838" t="s">
        <v>241</v>
      </c>
      <c r="B14" s="487">
        <f t="shared" si="2"/>
        <v>9.3576885298118613E-5</v>
      </c>
      <c r="C14" s="487">
        <f t="shared" si="2"/>
        <v>8.2428127649283258E-8</v>
      </c>
      <c r="D14" s="487">
        <f>L14+L28+L42</f>
        <v>3.1039089215386045E-11</v>
      </c>
      <c r="E14" s="487">
        <f>M14+M28+M42</f>
        <v>1.3810130752251805E-13</v>
      </c>
      <c r="F14" s="487">
        <f>N14+N28+N42</f>
        <v>2.1244891852305753E-14</v>
      </c>
      <c r="G14" s="839" t="s">
        <v>237</v>
      </c>
      <c r="I14" s="838" t="s">
        <v>241</v>
      </c>
      <c r="J14" s="487">
        <f>'all species output'!$M95</f>
        <v>1.3392835878198692E-14</v>
      </c>
      <c r="K14" s="487">
        <f>'all species output'!$N95</f>
        <v>2.8017178083519611E-19</v>
      </c>
      <c r="L14" s="487">
        <f>'all species output'!$O95</f>
        <v>2.5022548646401163E-24</v>
      </c>
      <c r="M14" s="487">
        <f>'all species output'!$P95</f>
        <v>8.851476592534158E-29</v>
      </c>
      <c r="N14" s="487">
        <f>'all species output'!$Q95</f>
        <v>8.8366588407143882E-29</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1.582436560940566E-8</v>
      </c>
      <c r="K18">
        <f>'all species output'!$N16</f>
        <v>1.4281340899540375E-11</v>
      </c>
      <c r="L18">
        <f>'all species output'!$O16</f>
        <v>5.3807886630857886E-15</v>
      </c>
      <c r="M18">
        <f>'all species output'!$P16</f>
        <v>2.1894258290476561E-17</v>
      </c>
      <c r="N18">
        <f>'all species output'!$Q16</f>
        <v>4.0439456558770782E-18</v>
      </c>
      <c r="O18" s="160" t="s">
        <v>137</v>
      </c>
    </row>
    <row r="19" spans="9:15" ht="14.5" x14ac:dyDescent="0.3">
      <c r="I19" s="104" t="s">
        <v>157</v>
      </c>
      <c r="J19">
        <f>'all species output'!$M24</f>
        <v>1.6048517671998118E-7</v>
      </c>
      <c r="K19">
        <f>'all species output'!$N24</f>
        <v>7.2438793401329931E-11</v>
      </c>
      <c r="O19" s="160" t="s">
        <v>158</v>
      </c>
    </row>
    <row r="20" spans="9:15" ht="14.5" x14ac:dyDescent="0.3">
      <c r="I20" s="104" t="s">
        <v>174</v>
      </c>
      <c r="J20">
        <f>'all species output'!$M32</f>
        <v>5.6468575170974727E-2</v>
      </c>
      <c r="K20">
        <f>'all species output'!$N32</f>
        <v>2.5506449689267316E-5</v>
      </c>
      <c r="O20" s="160" t="s">
        <v>175</v>
      </c>
    </row>
    <row r="21" spans="9:15" ht="14.5" x14ac:dyDescent="0.3">
      <c r="I21" s="104" t="s">
        <v>204</v>
      </c>
      <c r="J21">
        <f>'all species output'!$M40</f>
        <v>5.3535758090929289E-7</v>
      </c>
      <c r="K21">
        <f>'all species output'!$N40</f>
        <v>1.3751916293899809E-10</v>
      </c>
      <c r="O21" s="160" t="s">
        <v>158</v>
      </c>
    </row>
    <row r="22" spans="9:15" ht="14.5" x14ac:dyDescent="0.3">
      <c r="I22" s="104" t="s">
        <v>209</v>
      </c>
      <c r="J22">
        <f>'all species output'!$M48</f>
        <v>9.987991822951249E-2</v>
      </c>
      <c r="K22">
        <f>'all species output'!$N48</f>
        <v>2.5655731141749169E-5</v>
      </c>
      <c r="O22" s="160" t="s">
        <v>175</v>
      </c>
    </row>
    <row r="23" spans="9:15" ht="14.5" x14ac:dyDescent="0.3">
      <c r="I23" s="104" t="s">
        <v>220</v>
      </c>
      <c r="J23">
        <f>'all species output'!$M56</f>
        <v>6.3165972871079131E-9</v>
      </c>
      <c r="K23">
        <f>'all species output'!$N56</f>
        <v>3.6788589824116402E-12</v>
      </c>
      <c r="L23">
        <f>'all species output'!$O56</f>
        <v>7.3092839512425541E-15</v>
      </c>
      <c r="M23">
        <f>'all species output'!$P56</f>
        <v>1.0749587266831862E-16</v>
      </c>
      <c r="N23">
        <f>'all species output'!$Q56</f>
        <v>3.5077396145616965E-18</v>
      </c>
      <c r="O23" s="160" t="s">
        <v>158</v>
      </c>
    </row>
    <row r="24" spans="9:15" ht="14.5" x14ac:dyDescent="0.3">
      <c r="I24" s="104" t="s">
        <v>233</v>
      </c>
      <c r="L24">
        <f>'all species output'!$O64</f>
        <v>7.738416120107274E-15</v>
      </c>
      <c r="M24">
        <f>'all species output'!$P64</f>
        <v>1.1321165307519538E-16</v>
      </c>
      <c r="N24">
        <f>'all species output'!$Q64</f>
        <v>3.5830975380828239E-17</v>
      </c>
      <c r="O24" s="160" t="s">
        <v>158</v>
      </c>
    </row>
    <row r="25" spans="9:15" ht="14.5" x14ac:dyDescent="0.3">
      <c r="I25" s="104" t="s">
        <v>236</v>
      </c>
      <c r="J25">
        <f>'all species output'!$M72</f>
        <v>1.8057288328090428E-3</v>
      </c>
      <c r="K25">
        <f>'all species output'!$N72</f>
        <v>1.0516757902980358E-6</v>
      </c>
      <c r="L25">
        <f>'all species output'!$O72</f>
        <v>2.2121817952811677E-9</v>
      </c>
      <c r="M25">
        <f>'all species output'!$P72</f>
        <v>3.2363826661619576E-11</v>
      </c>
      <c r="N25">
        <f>'all species output'!$Q72</f>
        <v>1.0243239695613543E-11</v>
      </c>
      <c r="O25" s="160" t="s">
        <v>175</v>
      </c>
    </row>
    <row r="26" spans="9:15" ht="14.5" x14ac:dyDescent="0.3">
      <c r="I26" s="104" t="s">
        <v>238</v>
      </c>
      <c r="J26">
        <f>'all species output'!$M80</f>
        <v>9.3568285942215024E-5</v>
      </c>
      <c r="K26">
        <f>'all species output'!$N80</f>
        <v>8.2427744044872404E-8</v>
      </c>
      <c r="O26" s="160" t="s">
        <v>175</v>
      </c>
    </row>
    <row r="27" spans="9:15" ht="14.5" x14ac:dyDescent="0.3">
      <c r="I27" s="104" t="s">
        <v>240</v>
      </c>
      <c r="J27">
        <f>'all species output'!$M88</f>
        <v>1.1730613429257204E-4</v>
      </c>
      <c r="K27">
        <f>'all species output'!$N88</f>
        <v>3.8008002660359021E-8</v>
      </c>
      <c r="O27" s="160" t="s">
        <v>175</v>
      </c>
    </row>
    <row r="28" spans="9:15" ht="14.5" x14ac:dyDescent="0.3">
      <c r="I28" s="838" t="s">
        <v>241</v>
      </c>
      <c r="J28" s="487">
        <f>'all species output'!$M96</f>
        <v>9.3568285942215038E-5</v>
      </c>
      <c r="K28" s="487">
        <f>'all species output'!$N96</f>
        <v>8.2427744044872404E-8</v>
      </c>
      <c r="L28" s="487">
        <f>'all species output'!$O96</f>
        <v>3.1038742686275062E-11</v>
      </c>
      <c r="M28" s="487">
        <f>'all species output'!$P96</f>
        <v>1.380982013299322E-13</v>
      </c>
      <c r="N28" s="487">
        <f>'all species output'!$Q96</f>
        <v>2.1243058470482511E-14</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3.187135704802285E-15</v>
      </c>
      <c r="K32">
        <f>'all species output'!$N17</f>
        <v>1.2560483547305742E-17</v>
      </c>
      <c r="L32">
        <f>'all species output'!$O17</f>
        <v>2.1155160461777607E-20</v>
      </c>
      <c r="M32">
        <f>'all species output'!$P17</f>
        <v>5.2090645032576278E-22</v>
      </c>
      <c r="N32">
        <f>'all species output'!$Q17</f>
        <v>6.0919753399528108E-23</v>
      </c>
      <c r="O32" s="160" t="s">
        <v>137</v>
      </c>
    </row>
    <row r="33" spans="9:15" ht="14.5" x14ac:dyDescent="0.3">
      <c r="I33" s="104" t="s">
        <v>157</v>
      </c>
      <c r="J33">
        <f>'all species output'!$M25</f>
        <v>3.2726796316616846E-14</v>
      </c>
      <c r="K33">
        <f>'all species output'!$N25</f>
        <v>1.2655867450568954E-18</v>
      </c>
      <c r="O33" s="160" t="s">
        <v>158</v>
      </c>
    </row>
    <row r="34" spans="9:15" ht="14.5" x14ac:dyDescent="0.3">
      <c r="I34" s="104" t="s">
        <v>174</v>
      </c>
      <c r="J34">
        <f>'all species output'!$M33</f>
        <v>1.1609515875614885E-8</v>
      </c>
      <c r="K34">
        <f>'all species output'!$N33</f>
        <v>4.4923768221046967E-13</v>
      </c>
      <c r="O34" s="160" t="s">
        <v>175</v>
      </c>
    </row>
    <row r="35" spans="9:15" ht="14.5" x14ac:dyDescent="0.3">
      <c r="I35" s="104" t="s">
        <v>204</v>
      </c>
      <c r="J35">
        <f>'all species output'!$M41</f>
        <v>4.5261502480158036E-10</v>
      </c>
      <c r="K35">
        <f>'all species output'!$N41</f>
        <v>8.3932485110380865E-18</v>
      </c>
      <c r="O35" s="160" t="s">
        <v>158</v>
      </c>
    </row>
    <row r="36" spans="9:15" ht="14.5" x14ac:dyDescent="0.3">
      <c r="I36" s="104" t="s">
        <v>209</v>
      </c>
      <c r="J36">
        <f>'all species output'!$M49</f>
        <v>8.5131969742096705E-5</v>
      </c>
      <c r="K36">
        <f>'all species output'!$N49</f>
        <v>1.5786053725135508E-12</v>
      </c>
      <c r="O36" s="160" t="s">
        <v>175</v>
      </c>
    </row>
    <row r="37" spans="9:15" ht="14.5" x14ac:dyDescent="0.3">
      <c r="I37" s="104" t="s">
        <v>220</v>
      </c>
      <c r="J37">
        <f>'all species output'!$M57</f>
        <v>1.949658694849091E-12</v>
      </c>
      <c r="K37">
        <f>'all species output'!$N57</f>
        <v>2.4765635293701636E-17</v>
      </c>
      <c r="L37">
        <f>'all species output'!$O57</f>
        <v>3.7715732743248239E-20</v>
      </c>
      <c r="M37">
        <f>'all species output'!$P57</f>
        <v>5.5158581182022825E-22</v>
      </c>
      <c r="N37">
        <f>'all species output'!$Q57</f>
        <v>1.9109393677214385E-23</v>
      </c>
      <c r="O37" s="160" t="s">
        <v>158</v>
      </c>
    </row>
    <row r="38" spans="9:15" ht="14.5" x14ac:dyDescent="0.3">
      <c r="I38" s="104" t="s">
        <v>233</v>
      </c>
      <c r="L38">
        <f>'all species output'!$O65</f>
        <v>3.9996890379829382E-20</v>
      </c>
      <c r="M38">
        <f>'all species output'!$P65</f>
        <v>5.8190105478825173E-22</v>
      </c>
      <c r="N38">
        <f>'all species output'!$Q65</f>
        <v>1.8529461230030343E-22</v>
      </c>
      <c r="O38" s="160" t="s">
        <v>158</v>
      </c>
    </row>
    <row r="39" spans="9:15" ht="14.5" x14ac:dyDescent="0.3">
      <c r="I39" s="104" t="s">
        <v>236</v>
      </c>
      <c r="J39">
        <f>'all species output'!$M73</f>
        <v>5.6182793925815297E-7</v>
      </c>
      <c r="K39">
        <f>'all species output'!$N73</f>
        <v>7.1364999885853637E-12</v>
      </c>
      <c r="L39">
        <f>'all species output'!$O73</f>
        <v>1.1525538395841566E-14</v>
      </c>
      <c r="M39">
        <f>'all species output'!$P73</f>
        <v>1.6768110935256301E-16</v>
      </c>
      <c r="N39">
        <f>'all species output'!$Q73</f>
        <v>5.3395880964092352E-17</v>
      </c>
      <c r="O39" s="160" t="s">
        <v>175</v>
      </c>
    </row>
    <row r="40" spans="9:15" ht="14.5" x14ac:dyDescent="0.3">
      <c r="I40" s="104" t="s">
        <v>238</v>
      </c>
      <c r="J40">
        <f>'all species output'!$M81</f>
        <v>8.5993425107351961E-9</v>
      </c>
      <c r="K40">
        <f>'all species output'!$N81</f>
        <v>3.8360413068636165E-13</v>
      </c>
      <c r="O40" s="160" t="s">
        <v>175</v>
      </c>
    </row>
    <row r="41" spans="9:15" ht="14.5" x14ac:dyDescent="0.3">
      <c r="I41" s="104" t="s">
        <v>240</v>
      </c>
      <c r="J41">
        <f>'all species output'!$M89</f>
        <v>1.5245258779768092E-7</v>
      </c>
      <c r="K41">
        <f>'all species output'!$N89</f>
        <v>9.5947758676705632E-14</v>
      </c>
      <c r="O41" s="160" t="s">
        <v>175</v>
      </c>
    </row>
    <row r="42" spans="9:15" ht="14.5" x14ac:dyDescent="0.3">
      <c r="I42" s="838" t="s">
        <v>241</v>
      </c>
      <c r="J42" s="487">
        <f>'all species output'!$M97</f>
        <v>8.5993425107351961E-9</v>
      </c>
      <c r="K42" s="487">
        <f>'all species output'!$N97</f>
        <v>3.8360413068636165E-13</v>
      </c>
      <c r="L42" s="487">
        <f>'all species output'!$O97</f>
        <v>3.4652910848098033E-16</v>
      </c>
      <c r="M42" s="487">
        <f>'all species output'!$P97</f>
        <v>3.106192585747388E-18</v>
      </c>
      <c r="N42" s="487">
        <f>'all species output'!$Q97</f>
        <v>1.8333818231523042E-18</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247" zoomScaleNormal="100" workbookViewId="0">
      <selection activeCell="J265" sqref="J265"/>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4304</v>
      </c>
      <c r="I5" s="1005"/>
      <c r="J5" s="852" t="str">
        <f>IF(HLOOKUP(CaseName,CaseData,MATCH($G5,cases!$G$3:$G$1259,0)-1,FALSE)="","",HLOOKUP(CaseName,CaseData,MATCH($G5,cases!$G$3:$G$1259,0)-1,FALSE))</f>
        <v/>
      </c>
      <c r="K5" s="152" t="s">
        <v>290</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25000</v>
      </c>
      <c r="K14" s="723">
        <v>10</v>
      </c>
      <c r="L14" s="551">
        <f>IF(ISBLANK(I14), IF(ISNUMBER(J14)=FALSE, K14*10^-9, J14*10^-9), I14*10^-9)</f>
        <v>2.5000000000000001E-5</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1300</v>
      </c>
      <c r="K15" s="723">
        <f>4.23*10^3</f>
        <v>4230</v>
      </c>
      <c r="L15" s="551">
        <f>IF(ISBLANK(I15), IF(ISNUMBER(J15)=FALSE, K15, J15), I15)</f>
        <v>1300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1.9999999999999998E-21</v>
      </c>
      <c r="K16" s="697">
        <f>6.9*10^-21</f>
        <v>6.9000000000000004E-21</v>
      </c>
      <c r="L16" s="298">
        <f>IF(ISBLANK(I16),IF(ISNUMBER(J16)=FALSE,K16,J16),I16)</f>
        <v>1.9999999999999998E-21</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0.01</v>
      </c>
      <c r="K21" s="697">
        <v>0.1</v>
      </c>
      <c r="L21" s="551">
        <f t="shared" ref="L21:L40" si="0">IF(ISBLANK(I21), IF(ISNUMBER(J21)=FALSE, K21, J21), I21)</f>
        <v>0.01</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0.01</v>
      </c>
      <c r="K22" s="697">
        <v>0.1</v>
      </c>
      <c r="L22" s="551">
        <f t="shared" si="0"/>
        <v>0.01</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0.01</v>
      </c>
      <c r="K23" s="697">
        <v>0.1</v>
      </c>
      <c r="L23" s="551">
        <f t="shared" si="0"/>
        <v>0.01</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0.01</v>
      </c>
      <c r="K24" s="697">
        <v>0.1</v>
      </c>
      <c r="L24" s="551">
        <f t="shared" si="0"/>
        <v>0.01</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0.01</v>
      </c>
      <c r="K25" s="697">
        <v>1</v>
      </c>
      <c r="L25" s="551">
        <f t="shared" si="0"/>
        <v>0.01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0.01</v>
      </c>
      <c r="K26" s="697">
        <v>1</v>
      </c>
      <c r="L26" s="551">
        <f t="shared" si="0"/>
        <v>0.01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0.01</v>
      </c>
      <c r="K27" s="697">
        <v>1</v>
      </c>
      <c r="L27" s="551">
        <f t="shared" si="0"/>
        <v>0.01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0.01</v>
      </c>
      <c r="K28" s="697">
        <v>1</v>
      </c>
      <c r="L28" s="551">
        <f t="shared" si="0"/>
        <v>0.01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0.01</v>
      </c>
      <c r="K29" s="697">
        <v>0.1</v>
      </c>
      <c r="L29" s="551">
        <f t="shared" si="0"/>
        <v>0.01</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0.01</v>
      </c>
      <c r="K30" s="697">
        <v>0.1</v>
      </c>
      <c r="L30" s="551">
        <f t="shared" si="0"/>
        <v>0.01</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0.01</v>
      </c>
      <c r="K31" s="697">
        <v>0.1</v>
      </c>
      <c r="L31" s="551">
        <f t="shared" si="0"/>
        <v>0.01</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0.01</v>
      </c>
      <c r="K32" s="697">
        <v>0.1</v>
      </c>
      <c r="L32" s="551">
        <f t="shared" si="0"/>
        <v>0.01</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0.01</v>
      </c>
      <c r="K33" s="697">
        <v>0.1</v>
      </c>
      <c r="L33" s="551">
        <f t="shared" si="0"/>
        <v>0.01</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0.01</v>
      </c>
      <c r="K34" s="697">
        <v>0.1</v>
      </c>
      <c r="L34" s="551">
        <f t="shared" si="0"/>
        <v>0.01</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0.01</v>
      </c>
      <c r="K35" s="697">
        <v>0.1</v>
      </c>
      <c r="L35" s="551">
        <f t="shared" si="0"/>
        <v>0.01</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0.01</v>
      </c>
      <c r="K36" s="697">
        <v>0.1</v>
      </c>
      <c r="L36" s="551">
        <f t="shared" si="0"/>
        <v>0.01</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0.01</v>
      </c>
      <c r="K37" s="697">
        <v>0.1</v>
      </c>
      <c r="L37" s="551">
        <f t="shared" si="0"/>
        <v>0.01</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0.01</v>
      </c>
      <c r="K38" s="697">
        <v>0.1</v>
      </c>
      <c r="L38" s="551">
        <f t="shared" si="0"/>
        <v>0.01</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0.01</v>
      </c>
      <c r="K39" s="697">
        <v>1</v>
      </c>
      <c r="L39" s="551">
        <f t="shared" si="0"/>
        <v>0.01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0.01</v>
      </c>
      <c r="K40" s="731">
        <v>1</v>
      </c>
      <c r="L40" s="552">
        <f t="shared" si="0"/>
        <v>0.01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0</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0</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0</v>
      </c>
      <c r="K46" s="733">
        <v>0</v>
      </c>
      <c r="L46" s="551">
        <f t="shared" si="2"/>
        <v>0</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0</v>
      </c>
      <c r="K47" s="733">
        <v>0</v>
      </c>
      <c r="L47" s="551">
        <f t="shared" si="2"/>
        <v>0</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0</v>
      </c>
      <c r="K48" s="733">
        <v>0</v>
      </c>
      <c r="L48" s="551">
        <f t="shared" si="2"/>
        <v>0</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0</v>
      </c>
      <c r="K49" s="733">
        <v>0</v>
      </c>
      <c r="L49" s="551">
        <f t="shared" si="2"/>
        <v>0</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0</v>
      </c>
      <c r="K50" s="733">
        <v>0</v>
      </c>
      <c r="L50" s="551">
        <f t="shared" si="2"/>
        <v>0</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0</v>
      </c>
      <c r="K51" s="733">
        <v>0</v>
      </c>
      <c r="L51" s="551">
        <f t="shared" si="2"/>
        <v>0</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0</v>
      </c>
      <c r="K52" s="733">
        <v>0</v>
      </c>
      <c r="L52" s="551">
        <f t="shared" si="2"/>
        <v>0</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0</v>
      </c>
      <c r="K53" s="733">
        <v>0</v>
      </c>
      <c r="L53" s="551">
        <f t="shared" si="2"/>
        <v>0</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0</v>
      </c>
      <c r="K55" s="733">
        <f>L44</f>
        <v>0</v>
      </c>
      <c r="L55" s="551">
        <f t="shared" si="1"/>
        <v>0</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0</v>
      </c>
      <c r="K56" s="733">
        <f>L44</f>
        <v>0</v>
      </c>
      <c r="L56" s="551">
        <f t="shared" si="1"/>
        <v>0</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0</v>
      </c>
      <c r="K57" s="733">
        <f>L45</f>
        <v>0</v>
      </c>
      <c r="L57" s="551">
        <f t="shared" si="1"/>
        <v>0</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0</v>
      </c>
      <c r="K58" s="733">
        <f>L45</f>
        <v>0</v>
      </c>
      <c r="L58" s="551">
        <f t="shared" si="1"/>
        <v>0</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0</v>
      </c>
      <c r="K59" s="733">
        <f>L46</f>
        <v>0</v>
      </c>
      <c r="L59" s="551">
        <f t="shared" si="1"/>
        <v>0</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0</v>
      </c>
      <c r="K60" s="733">
        <f>L46</f>
        <v>0</v>
      </c>
      <c r="L60" s="551">
        <f t="shared" si="1"/>
        <v>0</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0</v>
      </c>
      <c r="K61" s="733">
        <f>L47</f>
        <v>0</v>
      </c>
      <c r="L61" s="551">
        <f t="shared" si="1"/>
        <v>0</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0</v>
      </c>
      <c r="K62" s="733">
        <f>L47</f>
        <v>0</v>
      </c>
      <c r="L62" s="551">
        <f t="shared" si="1"/>
        <v>0</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0</v>
      </c>
      <c r="K63" s="733">
        <f>L48</f>
        <v>0</v>
      </c>
      <c r="L63" s="551">
        <f t="shared" si="1"/>
        <v>0</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0</v>
      </c>
      <c r="K64" s="733">
        <f>L48</f>
        <v>0</v>
      </c>
      <c r="L64" s="551">
        <f t="shared" si="1"/>
        <v>0</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0</v>
      </c>
      <c r="K65" s="733">
        <f>L49</f>
        <v>0</v>
      </c>
      <c r="L65" s="551">
        <f t="shared" si="1"/>
        <v>0</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0</v>
      </c>
      <c r="K66" s="733">
        <f>L49</f>
        <v>0</v>
      </c>
      <c r="L66" s="551">
        <f t="shared" si="1"/>
        <v>0</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0</v>
      </c>
      <c r="K67" s="733">
        <f>L50</f>
        <v>0</v>
      </c>
      <c r="L67" s="551">
        <f t="shared" si="1"/>
        <v>0</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0</v>
      </c>
      <c r="K68" s="733">
        <f>L50</f>
        <v>0</v>
      </c>
      <c r="L68" s="551">
        <f t="shared" si="1"/>
        <v>0</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0</v>
      </c>
      <c r="K69" s="733">
        <f>L51</f>
        <v>0</v>
      </c>
      <c r="L69" s="551">
        <f t="shared" si="1"/>
        <v>0</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0</v>
      </c>
      <c r="K70" s="733">
        <f>L51</f>
        <v>0</v>
      </c>
      <c r="L70" s="551">
        <f t="shared" si="1"/>
        <v>0</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0</v>
      </c>
      <c r="K71" s="733">
        <f>L52</f>
        <v>0</v>
      </c>
      <c r="L71" s="551">
        <f t="shared" si="1"/>
        <v>0</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0</v>
      </c>
      <c r="K72" s="733">
        <f>L52</f>
        <v>0</v>
      </c>
      <c r="L72" s="551">
        <f t="shared" si="1"/>
        <v>0</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0</v>
      </c>
      <c r="K73" s="733">
        <f>L53</f>
        <v>0</v>
      </c>
      <c r="L73" s="551">
        <f t="shared" si="1"/>
        <v>0</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0</v>
      </c>
      <c r="K74" s="734">
        <f>L53</f>
        <v>0</v>
      </c>
      <c r="L74" s="552">
        <f t="shared" si="1"/>
        <v>0</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f>IF(HLOOKUP(CaseName,CaseData,MATCH($G79,cases!$G$3:$G$1259,0)-1,FALSE)="",IF(ISBLANK(VLOOKUP(ChemName,ChemData,MATCH(G79,substances!$3:$3,FALSE)-1,FALSE)),"",VLOOKUP(ChemName,ChemData,MATCH(G79,substances!$3:$3,FALSE)-1,FALSE)),HLOOKUP(CaseName,CaseData,MATCH($G79,cases!$G$3:$G$1259,0)-1,FALSE))</f>
        <v>0</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f>IF(HLOOKUP(CaseName,CaseData,MATCH($G80,cases!$G$3:$G$1259,0)-1,FALSE)="",IF(ISBLANK(VLOOKUP(ChemName,ChemData,MATCH(G80,substances!$3:$3,FALSE)-1,FALSE)),"",VLOOKUP(ChemName,ChemData,MATCH(G80,substances!$3:$3,FALSE)-1,FALSE)),HLOOKUP(CaseName,CaseData,MATCH($G80,cases!$G$3:$G$1259,0)-1,FALSE))</f>
        <v>0</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2.7100000000000001E-8</v>
      </c>
      <c r="L81" s="423">
        <f t="shared" si="4"/>
        <v>2.7100000000000001E-8</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2.7100000000000001E-8</v>
      </c>
      <c r="L82" s="423">
        <f t="shared" si="4"/>
        <v>2.7100000000000001E-8</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f>IF(HLOOKUP(CaseName,CaseData,MATCH($G83,cases!$G$3:$G$1259,0)-1,FALSE)="",IF(ISBLANK(VLOOKUP(ChemName,ChemData,MATCH(G83,substances!$3:$3,FALSE)-1,FALSE)),"",VLOOKUP(ChemName,ChemData,MATCH(G83,substances!$3:$3,FALSE)-1,FALSE)),HLOOKUP(CaseName,CaseData,MATCH($G83,cases!$G$3:$G$1259,0)-1,FALSE))</f>
        <v>2.7E-8</v>
      </c>
      <c r="K83" s="733">
        <v>0</v>
      </c>
      <c r="L83" s="423">
        <f t="shared" si="4"/>
        <v>2.7E-8</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f>IF(HLOOKUP(CaseName,CaseData,MATCH($G84,cases!$G$3:$G$1259,0)-1,FALSE)="",IF(ISBLANK(VLOOKUP(ChemName,ChemData,MATCH(G84,substances!$3:$3,FALSE)-1,FALSE)),"",VLOOKUP(ChemName,ChemData,MATCH(G84,substances!$3:$3,FALSE)-1,FALSE)),HLOOKUP(CaseName,CaseData,MATCH($G84,cases!$G$3:$G$1259,0)-1,FALSE))</f>
        <v>1E-10</v>
      </c>
      <c r="K84" s="733">
        <v>0</v>
      </c>
      <c r="L84" s="423">
        <f t="shared" si="4"/>
        <v>1E-10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2.7100000000000001E-8</v>
      </c>
      <c r="L85" s="423">
        <f t="shared" si="4"/>
        <v>2.7100000000000001E-8</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f>IF(HLOOKUP(CaseName,CaseData,MATCH($G86,cases!$G$3:$G$1259,0)-1,FALSE)="",IF(ISBLANK(VLOOKUP(ChemName,ChemData,MATCH(G86,substances!$3:$3,FALSE)-1,FALSE)),"",VLOOKUP(ChemName,ChemData,MATCH(G86,substances!$3:$3,FALSE)-1,FALSE)),HLOOKUP(CaseName,CaseData,MATCH($G86,cases!$G$3:$G$1259,0)-1,FALSE))</f>
        <v>2.7E-8</v>
      </c>
      <c r="K86" s="733">
        <v>0</v>
      </c>
      <c r="L86" s="423">
        <f t="shared" si="4"/>
        <v>2.7E-8</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f>IF(HLOOKUP(CaseName,CaseData,MATCH($G87,cases!$G$3:$G$1259,0)-1,FALSE)="",IF(ISBLANK(VLOOKUP(ChemName,ChemData,MATCH(G87,substances!$3:$3,FALSE)-1,FALSE)),"",VLOOKUP(ChemName,ChemData,MATCH(G87,substances!$3:$3,FALSE)-1,FALSE)),HLOOKUP(CaseName,CaseData,MATCH($G87,cases!$G$3:$G$1259,0)-1,FALSE))</f>
        <v>1E-10</v>
      </c>
      <c r="K87" s="733">
        <v>0</v>
      </c>
      <c r="L87" s="423">
        <f t="shared" si="4"/>
        <v>1E-10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2.7030000000000001E-8</v>
      </c>
      <c r="L88" s="551">
        <f t="shared" ref="L88:L98" si="5">IF(ISBLANK(I88), IF(ISNUMBER(J88)=FALSE, K88, J88), I88)</f>
        <v>2.7030000000000001E-8</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2.7030000000000001E-8</v>
      </c>
      <c r="L89" s="551">
        <f t="shared" si="5"/>
        <v>2.7030000000000001E-8</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2.7030000000000001E-8</v>
      </c>
      <c r="L90" s="551">
        <f t="shared" si="5"/>
        <v>2.7030000000000001E-8</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f>IF(HLOOKUP(CaseName,CaseData,MATCH($G91,cases!$G$3:$G$1259,0)-1,FALSE)="",IF(ISBLANK(VLOOKUP(ChemName,ChemData,MATCH(G91,substances!$3:$3,FALSE)-1,FALSE)),"",VLOOKUP(ChemName,ChemData,MATCH(G91,substances!$3:$3,FALSE)-1,FALSE)),HLOOKUP(CaseName,CaseData,MATCH($G91,cases!$G$3:$G$1259,0)-1,FALSE))</f>
        <v>2.7E-8</v>
      </c>
      <c r="K91" s="733">
        <v>0</v>
      </c>
      <c r="L91" s="551">
        <f t="shared" ref="L91:L92" si="6">IF(ISBLANK(I91), IF(ISNUMBER(J91)=FALSE, K91, J91), I91)</f>
        <v>2.7E-8</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f>IF(HLOOKUP(CaseName,CaseData,MATCH($G92,cases!$G$3:$G$1259,0)-1,FALSE)="",IF(ISBLANK(VLOOKUP(ChemName,ChemData,MATCH(G92,substances!$3:$3,FALSE)-1,FALSE)),"",VLOOKUP(ChemName,ChemData,MATCH(G92,substances!$3:$3,FALSE)-1,FALSE)),HLOOKUP(CaseName,CaseData,MATCH($G92,cases!$G$3:$G$1259,0)-1,FALSE))</f>
        <v>3E-11</v>
      </c>
      <c r="K92" s="733">
        <v>0</v>
      </c>
      <c r="L92" s="551">
        <f t="shared" si="6"/>
        <v>3E-11</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2.7030000000000001E-8</v>
      </c>
      <c r="L93" s="551">
        <f t="shared" si="5"/>
        <v>2.7030000000000001E-8</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2.7030000000000001E-8</v>
      </c>
      <c r="L94" s="551">
        <f t="shared" si="5"/>
        <v>2.7030000000000001E-8</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2.7030000000000001E-8</v>
      </c>
      <c r="L95" s="551">
        <f t="shared" si="5"/>
        <v>2.7030000000000001E-8</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f>IF(HLOOKUP(CaseName,CaseData,MATCH($G96,cases!$G$3:$G$1259,0)-1,FALSE)="",IF(ISBLANK(VLOOKUP(ChemName,ChemData,MATCH(G96,substances!$3:$3,FALSE)-1,FALSE)),"",VLOOKUP(ChemName,ChemData,MATCH(G96,substances!$3:$3,FALSE)-1,FALSE)),HLOOKUP(CaseName,CaseData,MATCH($G96,cases!$G$3:$G$1259,0)-1,FALSE))</f>
        <v>2.7E-8</v>
      </c>
      <c r="K96" s="733">
        <v>0</v>
      </c>
      <c r="L96" s="551">
        <f t="shared" si="5"/>
        <v>2.7E-8</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f>IF(HLOOKUP(CaseName,CaseData,MATCH($G97,cases!$G$3:$G$1259,0)-1,FALSE)="",IF(ISBLANK(VLOOKUP(ChemName,ChemData,MATCH(G97,substances!$3:$3,FALSE)-1,FALSE)),"",VLOOKUP(ChemName,ChemData,MATCH(G97,substances!$3:$3,FALSE)-1,FALSE)),HLOOKUP(CaseName,CaseData,MATCH($G97,cases!$G$3:$G$1259,0)-1,FALSE))</f>
        <v>3E-11</v>
      </c>
      <c r="K97" s="733">
        <v>0</v>
      </c>
      <c r="L97" s="551">
        <f t="shared" si="5"/>
        <v>3E-11</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2.7100000000000001E-8</v>
      </c>
      <c r="L98" s="551">
        <f t="shared" si="5"/>
        <v>2.7100000000000001E-8</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f>IF(HLOOKUP(CaseName,CaseData,MATCH($G99,cases!$G$3:$G$1259,0)-1,FALSE)="",IF(ISBLANK(VLOOKUP(ChemName,ChemData,MATCH(G99,substances!$3:$3,FALSE)-1,FALSE)),"",VLOOKUP(ChemName,ChemData,MATCH(G99,substances!$3:$3,FALSE)-1,FALSE)),HLOOKUP(CaseName,CaseData,MATCH($G99,cases!$G$3:$G$1259,0)-1,FALSE))</f>
        <v>2.7E-8</v>
      </c>
      <c r="K99" s="733">
        <v>0</v>
      </c>
      <c r="L99" s="551">
        <f t="shared" ref="L99:L100" si="7">IF(ISBLANK(I99), IF(ISNUMBER(J99)=FALSE, K99, J99), I99)</f>
        <v>2.7E-8</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f>IF(HLOOKUP(CaseName,CaseData,MATCH($G100,cases!$G$3:$G$1259,0)-1,FALSE)="",IF(ISBLANK(VLOOKUP(ChemName,ChemData,MATCH(G100,substances!$3:$3,FALSE)-1,FALSE)),"",VLOOKUP(ChemName,ChemData,MATCH(G100,substances!$3:$3,FALSE)-1,FALSE)),HLOOKUP(CaseName,CaseData,MATCH($G100,cases!$G$3:$G$1259,0)-1,FALSE))</f>
        <v>1E-10</v>
      </c>
      <c r="K100" s="733">
        <v>0</v>
      </c>
      <c r="L100" s="551">
        <f t="shared" si="7"/>
        <v>1E-10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2.7100000000000001E-8</v>
      </c>
      <c r="L104" s="551">
        <f t="shared" ref="L104:L123" si="9">IF(ISBLANK(I104), IF(ISNUMBER(J104)=FALSE, K104, J104), I104)</f>
        <v>2.7100000000000001E-8</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2.7100000000000001E-8</v>
      </c>
      <c r="L105" s="551">
        <f t="shared" si="9"/>
        <v>2.7100000000000001E-8</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2.7100000000000001E-8</v>
      </c>
      <c r="L106" s="551">
        <f t="shared" si="9"/>
        <v>2.7100000000000001E-8</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2.7100000000000001E-8</v>
      </c>
      <c r="L107" s="551">
        <f t="shared" si="9"/>
        <v>2.7100000000000001E-8</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2.7100000000000001E-8</v>
      </c>
      <c r="L108" s="551">
        <f t="shared" si="9"/>
        <v>2.7100000000000001E-8</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2.7100000000000001E-8</v>
      </c>
      <c r="L109" s="551">
        <f t="shared" si="9"/>
        <v>2.7100000000000001E-8</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2.7030000000000001E-8</v>
      </c>
      <c r="L110" s="551">
        <f t="shared" si="9"/>
        <v>2.7030000000000001E-8</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2.7030000000000001E-8</v>
      </c>
      <c r="L111" s="551">
        <f t="shared" si="9"/>
        <v>2.7030000000000001E-8</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2.7030000000000001E-8</v>
      </c>
      <c r="L112" s="551">
        <f t="shared" si="9"/>
        <v>2.7030000000000001E-8</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2.7030000000000001E-8</v>
      </c>
      <c r="L113" s="551">
        <f t="shared" si="9"/>
        <v>2.7030000000000001E-8</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2.7030000000000001E-8</v>
      </c>
      <c r="L114" s="551">
        <f t="shared" si="9"/>
        <v>2.7030000000000001E-8</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2.7030000000000001E-8</v>
      </c>
      <c r="L115" s="551">
        <f t="shared" si="9"/>
        <v>2.7030000000000001E-8</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2.7030000000000001E-8</v>
      </c>
      <c r="L116" s="551">
        <f t="shared" si="9"/>
        <v>2.7030000000000001E-8</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2.7030000000000001E-8</v>
      </c>
      <c r="L117" s="551">
        <f t="shared" si="9"/>
        <v>2.7030000000000001E-8</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2.7030000000000001E-8</v>
      </c>
      <c r="L118" s="551">
        <f t="shared" si="9"/>
        <v>2.7030000000000001E-8</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2.7030000000000001E-8</v>
      </c>
      <c r="L119" s="551">
        <f t="shared" si="9"/>
        <v>2.7030000000000001E-8</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2.7030000000000001E-8</v>
      </c>
      <c r="L120" s="551">
        <f t="shared" si="9"/>
        <v>2.7030000000000001E-8</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2.7030000000000001E-8</v>
      </c>
      <c r="L121" s="551">
        <f t="shared" si="9"/>
        <v>2.7030000000000001E-8</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2.7100000000000001E-8</v>
      </c>
      <c r="L122" s="551">
        <f t="shared" si="9"/>
        <v>2.7100000000000001E-8</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2.7100000000000001E-8</v>
      </c>
      <c r="L123" s="423">
        <f t="shared" si="9"/>
        <v>2.7100000000000001E-8</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0.19806675706176166</v>
      </c>
      <c r="L188" s="763">
        <f>MAX(IF(Pvap25&gt;100000,(100000/_Sol25)/(8.314*298),(Pvap25/_Sol25)/(8.314*298)),1E-20)</f>
        <v>0.19806675706176166</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0.19806675706176166</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0.19806675706176166</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0.19806675706176166</v>
      </c>
      <c r="L193" s="763">
        <f t="shared" si="14"/>
        <v>0.19806675706176166</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0.19806675706176166</v>
      </c>
      <c r="L194" s="763">
        <f t="shared" si="14"/>
        <v>0.19806675706176166</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0.19806675706176166</v>
      </c>
      <c r="L195" s="763">
        <f t="shared" si="14"/>
        <v>0.19806675706176166</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0.19806675706176166</v>
      </c>
      <c r="L196" s="763">
        <f t="shared" si="14"/>
        <v>0.19806675706176166</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0.19806675706176166</v>
      </c>
      <c r="L197" s="763">
        <f t="shared" si="14"/>
        <v>0.19806675706176166</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0.19806675706176166</v>
      </c>
      <c r="L198" s="763">
        <f t="shared" si="14"/>
        <v>0.19806675706176166</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0.19806675706176166</v>
      </c>
      <c r="L199" s="763">
        <f t="shared" si="14"/>
        <v>0.19806675706176166</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0.19806675706176166</v>
      </c>
      <c r="L200" s="763">
        <f t="shared" si="14"/>
        <v>0.19806675706176166</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0.19806675706176166</v>
      </c>
      <c r="L201" s="763">
        <f t="shared" si="14"/>
        <v>0.19806675706176166</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0.19806675706176166</v>
      </c>
      <c r="L202" s="763">
        <f t="shared" si="14"/>
        <v>0.19806675706176166</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0.19806675706176166</v>
      </c>
      <c r="L203" s="763">
        <f t="shared" si="14"/>
        <v>0.19806675706176166</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0.19806675706176166</v>
      </c>
      <c r="L204" s="763">
        <f t="shared" si="14"/>
        <v>0.19806675706176166</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0.19806675706176166</v>
      </c>
      <c r="L205" s="763">
        <f t="shared" si="14"/>
        <v>0.19806675706176166</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0.19806675706176166</v>
      </c>
      <c r="L206" s="763">
        <f t="shared" si="14"/>
        <v>0.19806675706176166</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0.19806675706176166</v>
      </c>
      <c r="L207" s="763">
        <f t="shared" si="14"/>
        <v>0.19806675706176166</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0.19806675706176166</v>
      </c>
      <c r="L208" s="763">
        <f t="shared" si="14"/>
        <v>0.19806675706176166</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0.19806675706176166</v>
      </c>
      <c r="L209" s="763">
        <f t="shared" si="14"/>
        <v>0.19806675706176166</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0.19806675706176166</v>
      </c>
      <c r="L210" s="763">
        <f t="shared" si="14"/>
        <v>0.19806675706176166</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0.19806675706176166</v>
      </c>
      <c r="L211" s="764">
        <f t="shared" si="14"/>
        <v>0.19806675706176166</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t="str">
        <f>IF(HLOOKUP(CaseName,CaseData,MATCH($G213,cases!$G$3:$G$1259,0)-1,FALSE)="",IF(ISBLANK(VLOOKUP(ChemName,ChemData,MATCH(G213,substances!$3:$3,FALSE)-1,FALSE)),"",VLOOKUP(ChemName,ChemData,MATCH(G213,substances!$3:$3,FALSE)-1,FALSE)),HLOOKUP(CaseName,CaseData,MATCH($G213,cases!$G$3:$G$1259,0)-1,FALSE))</f>
        <v/>
      </c>
      <c r="K213" s="405">
        <f>C.OHrad*k0.OHrad*EXP(-Ea.OHrad/(8.314*298))</f>
        <v>3.5063474584268925E-6</v>
      </c>
      <c r="L213" s="155">
        <f>IF(ISBLANK(I213), IF(ISNUMBER(J213)=FALSE, K213, J213), I213)</f>
        <v>3.5063474584268925E-6</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t="str">
        <f>IF(HLOOKUP(CaseName,CaseData,MATCH($G217,cases!$G$3:$G$1259,0)-1,FALSE)="",IF(ISBLANK(VLOOKUP(ChemName,ChemData,MATCH(G217,substances!$3:$3,FALSE)-1,FALSE)),"",VLOOKUP(ChemName,ChemData,MATCH(G217,substances!$3:$3,FALSE)-1,FALSE)),HLOOKUP(CaseName,CaseData,MATCH($G217,cases!$G$3:$G$1259,0)-1,FALSE))</f>
        <v/>
      </c>
      <c r="K217" s="405">
        <f>IF(biodeg="r",LN(2)/15*Q.10^(13/10),IF(biodeg="r-",LN(2)/50*Q.10^(13/10),IF(biodeg="i",LN(2)/150*Q.10^(13/10),1E-20)))/(3600*24)</f>
        <v>1.316920183599007E-7</v>
      </c>
      <c r="L217" s="155">
        <f t="shared" ref="L217:L222" si="15">IF(ISBLANK(I217), IF(ISNUMBER(J217)=FALSE, K217, J217), I217)</f>
        <v>1.316920183599007E-7</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t="str">
        <f>IF(HLOOKUP(CaseName,CaseData,MATCH($G221,cases!$G$3:$G$1259,0)-1,FALSE)="",IF(ISBLANK(VLOOKUP(ChemName,ChemData,MATCH(G221,substances!$3:$3,FALSE)-1,FALSE)),"",VLOOKUP(ChemName,ChemData,MATCH(G221,substances!$3:$3,FALSE)-1,FALSE)),HLOOKUP(CaseName,CaseData,MATCH($G221,cases!$G$3:$G$1259,0)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t="str">
        <f>IF(HLOOKUP(CaseName,CaseData,MATCH($G222,cases!$G$3:$G$1259,0)-1,FALSE)="",IF(ISBLANK(VLOOKUP(ChemName,ChemData,MATCH(G222,substances!$3:$3,FALSE)-1,FALSE)),"",VLOOKUP(ChemName,ChemData,MATCH(G222,substances!$3:$3,FALSE)-1,FALSE)),HLOOKUP(CaseName,CaseData,MATCH($G222,cases!$G$3:$G$1259,0)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4.1065369261477052E-4</v>
      </c>
      <c r="L372" s="551">
        <f t="shared" ref="L372:L377" si="24">IF(ISBLANK(I372),IF(ISNUMBER(J372)=FALSE,K372,J372),I372)</f>
        <v>4.1065369261477052E-4</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6.5449846949787347E-14</v>
      </c>
      <c r="L373" s="298">
        <f t="shared" si="24"/>
        <v>6.5449846949787347E-14</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8.5084801034723547E-11</v>
      </c>
      <c r="L374" s="298">
        <f t="shared" si="24"/>
        <v>8.5084801034723547E-11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1.0851957974201725E-5</v>
      </c>
      <c r="L375" s="298">
        <f t="shared" si="24"/>
        <v>1.0851957974201725E-5</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2.6400000000000004E-3</v>
      </c>
      <c r="L376" s="298">
        <f t="shared" si="24"/>
        <v>2.6400000000000004E-3</v>
      </c>
      <c r="M376" s="579" t="s">
        <v>315</v>
      </c>
      <c r="N376" s="432">
        <f>RadS</f>
        <v>2.5000000000000001E-5</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1.0030148800000001</v>
      </c>
      <c r="L377" s="298">
        <f t="shared" si="24"/>
        <v>1.0030148800000001</v>
      </c>
      <c r="M377" s="579" t="s">
        <v>315</v>
      </c>
      <c r="N377" s="432">
        <f>EXP(-0.999/KnudS)</f>
        <v>4.5605782966524527E-165</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4.6271731274912983E-13</v>
      </c>
      <c r="L379" s="298">
        <f>IF(ISBLANK(I379),IF(ISNUMBER(J379)=FALSE,K379,J379),I379)</f>
        <v>4.6271731274912983E-13</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8.333342400566822E-15</v>
      </c>
      <c r="L380" s="298">
        <f>IF(ISBLANK(I380),IF(ISNUMBER(J380)=FALSE,K380,J380),I380)</f>
        <v>8.333342400566822E-15</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4.6271731274912983E-13</v>
      </c>
      <c r="L382" s="298">
        <f>IF(ISBLANK(I382),IF(ISNUMBER(J382)=FALSE,K382,J382),I382)</f>
        <v>4.6271731274912983E-13</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8.333342400566822E-15</v>
      </c>
      <c r="L383" s="298">
        <f>IF(ISBLANK(I383),IF(ISNUMBER(J383)=FALSE,K383,J383),I383)</f>
        <v>8.333342400566822E-15</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4.6271731274912983E-13</v>
      </c>
      <c r="L385" s="298">
        <f t="shared" ref="L385:L390" si="25">IF(ISBLANK(I385),IF(ISNUMBER(J385)=FALSE,K385,J385),I385)</f>
        <v>4.6271731274912983E-13</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8.333342400566822E-15</v>
      </c>
      <c r="L386" s="298">
        <f t="shared" si="25"/>
        <v>8.333342400566822E-15</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4.2699878334393381E-13</v>
      </c>
      <c r="L387" s="298">
        <f t="shared" si="25"/>
        <v>4.2699878334393381E-13</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7.6900668468388566E-15</v>
      </c>
      <c r="L388" s="298">
        <f t="shared" si="25"/>
        <v>7.6900668468388566E-15</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4.8382371648856391E-13</v>
      </c>
      <c r="L389" s="298">
        <f t="shared" si="25"/>
        <v>4.8382371648856391E-13</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8.7134597732242562E-15</v>
      </c>
      <c r="L390" s="298">
        <f t="shared" si="25"/>
        <v>8.7134597732242562E-15</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4.1065395734768791E-4</v>
      </c>
      <c r="L393" s="298">
        <f t="shared" ref="L393:L402" si="26">IF(ISBLANK(I393),IF(ISNUMBER(J393)=FALSE,K393,J393),I393)</f>
        <v>4.1065395734768791E-4</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2.5000001799999878E-5</v>
      </c>
      <c r="L394" s="298">
        <f t="shared" si="26"/>
        <v>2.5000001799999878E-5</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1300.0001511999674</v>
      </c>
      <c r="L395" s="298">
        <f t="shared" si="26"/>
        <v>1300.0001511999674</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4.1394464800212995E-4</v>
      </c>
      <c r="L396" s="298">
        <f t="shared" si="26"/>
        <v>4.1394464800212995E-4</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2.5014391713553454E-5</v>
      </c>
      <c r="L397" s="551">
        <f t="shared" si="26"/>
        <v>2.5014391713553454E-5</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1302.0700230002556</v>
      </c>
      <c r="L398" s="551">
        <f t="shared" si="26"/>
        <v>1302.0700230002556</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9.8067169441135305E-2</v>
      </c>
      <c r="L399" s="298">
        <f t="shared" si="26"/>
        <v>9.8067169441135305E-2</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1.0030148331140445</v>
      </c>
      <c r="L400" s="298">
        <f t="shared" si="26"/>
        <v>1.0030148331140445</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2.5000388793953542E-5</v>
      </c>
      <c r="L401" s="551">
        <f t="shared" si="26"/>
        <v>2.5000388793953542E-5</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1300.0326576763234</v>
      </c>
      <c r="L402" s="551">
        <f t="shared" si="26"/>
        <v>1300.0326576763234</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7" priority="90" stopIfTrue="1">
      <formula>HLOOKUP(CaseName,CaseData,ROW()-2,FALSE)&lt;&gt;""</formula>
    </cfRule>
  </conditionalFormatting>
  <conditionalFormatting sqref="Q275:Q277">
    <cfRule type="cellIs" dxfId="46"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368" transitionEvaluation="1" transitionEntry="1" codeName="Sheet2"/>
  <dimension ref="A1:S584"/>
  <sheetViews>
    <sheetView topLeftCell="A368" zoomScaleNormal="100" workbookViewId="0">
      <selection activeCell="K382" sqref="K382"/>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6.3044130455043946E-3</v>
      </c>
      <c r="L65" s="298">
        <f t="shared" si="4"/>
        <v>6.3044130455043946E-3</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0.99369558695282267</v>
      </c>
      <c r="L66" s="298">
        <f t="shared" si="4"/>
        <v>0.99369558695282267</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1.7086070818562728E-8</v>
      </c>
      <c r="L109" s="298">
        <f t="shared" ref="L109:L124" si="5">IF(ISBLANK(I109),IF(ISNUMBER(J109)=FALSE,K109,J109),I109)</f>
        <v>1.7086070818562728E-8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1.8794677900419003E-7</v>
      </c>
      <c r="L110" s="298">
        <f t="shared" si="5"/>
        <v>1.8794677900419003E-7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2.990081081255239E-8</v>
      </c>
      <c r="L111" s="298">
        <f t="shared" si="5"/>
        <v>2.990081081255239E-8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1.8452956484032434E-6</v>
      </c>
      <c r="L112" s="298">
        <f t="shared" si="5"/>
        <v>1.8452956484032434E-6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4.1006569964516514E-6</v>
      </c>
      <c r="L113" s="298">
        <f t="shared" si="5"/>
        <v>4.1006569964516514E-6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6.8344283274194193E-7</v>
      </c>
      <c r="L114" s="298">
        <f t="shared" si="5"/>
        <v>6.8344283274194193E-7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2.3628845388701045E-25</v>
      </c>
      <c r="L115" s="298">
        <f t="shared" si="5"/>
        <v>2.3628845388701045E-25</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7.8648807973472265E-24</v>
      </c>
      <c r="L116" s="298">
        <f t="shared" si="5"/>
        <v>7.8648807973472265E-24</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2.3618220058513861E-24</v>
      </c>
      <c r="L117" s="298">
        <f t="shared" si="5"/>
        <v>2.3618220058513861E-24</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4.6794575955110109E-24</v>
      </c>
      <c r="L118" s="298">
        <f t="shared" si="5"/>
        <v>4.6794575955110109E-24</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2.1294069913023511E-24</v>
      </c>
      <c r="L119" s="298">
        <f t="shared" si="5"/>
        <v>2.1294069913023511E-24</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4.6794575955110109E-24</v>
      </c>
      <c r="L120" s="298">
        <f t="shared" si="5"/>
        <v>4.6794575955110109E-24</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6.864329138230194E-6</v>
      </c>
      <c r="L121" s="298">
        <f t="shared" si="5"/>
        <v>6.864329138230194E-6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1.0420142739654689E-5</v>
      </c>
      <c r="L123" s="298">
        <f t="shared" si="5"/>
        <v>1.0420142739654689E-5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1.7527781262359391E-15</v>
      </c>
      <c r="L133" s="298">
        <f t="shared" si="6"/>
        <v>1.7527781262359391E-15</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2.3397287977555055E-25</v>
      </c>
      <c r="L139" s="298">
        <f t="shared" si="6"/>
        <v>2.3397287977555055E-25</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4.2588139826047023E-25</v>
      </c>
      <c r="L140" s="298">
        <f t="shared" si="6"/>
        <v>4.2588139826047023E-25</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2.3397287977555055E-25</v>
      </c>
      <c r="L141" s="298">
        <f t="shared" si="6"/>
        <v>2.3397287977555055E-25</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2.6741789373454676E-10</v>
      </c>
      <c r="L143" s="298">
        <f t="shared" si="6"/>
        <v>2.6741789373454676E-10</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4.4425291563015679E-8</v>
      </c>
      <c r="L153" s="298">
        <f t="shared" si="7"/>
        <v>4.4425291563015679E-8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3.6632588710578216E-10</v>
      </c>
      <c r="L194" s="298">
        <f t="shared" ref="L194:L226" si="11">IF(ISBLANK(I194),IF(ISNUMBER(J194)=FALSE,K194,J194),I194)</f>
        <v>3.6632588710578216E-10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5.3469142078548131E-8</v>
      </c>
      <c r="L195" s="298">
        <f t="shared" si="11"/>
        <v>5.3469142078548131E-8</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5.3391744945602903E-8</v>
      </c>
      <c r="L196" s="298">
        <f t="shared" si="11"/>
        <v>5.3391744945602903E-8</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5.3445098276150513E-8</v>
      </c>
      <c r="L197" s="298">
        <f t="shared" si="11"/>
        <v>5.3445098276150513E-8</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3.1627861501187869E-9</v>
      </c>
      <c r="L198" s="298">
        <f t="shared" si="11"/>
        <v>3.1627861501187869E-9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3.1627861501187869E-9</v>
      </c>
      <c r="L199" s="298">
        <f t="shared" si="11"/>
        <v>3.1627861501187869E-9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1.1817111353210503E-9</v>
      </c>
      <c r="L200" s="298">
        <f t="shared" si="11"/>
        <v>1.1817111353210503E-9</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2.7056449122625908E-9</v>
      </c>
      <c r="L201" s="298">
        <f t="shared" si="11"/>
        <v>2.7056449122625908E-9</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2.6884976624560323E-9</v>
      </c>
      <c r="L202" s="298">
        <f t="shared" si="11"/>
        <v>2.6884976624560323E-9</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2.7056449122625908E-9</v>
      </c>
      <c r="L203" s="298">
        <f t="shared" si="11"/>
        <v>2.7056449122625908E-9</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5.2776358660991025E-18</v>
      </c>
      <c r="L205" s="298">
        <f t="shared" si="11"/>
        <v>5.2776358660991025E-18</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5.3469142078548131E-8</v>
      </c>
      <c r="L208" s="298">
        <f t="shared" si="11"/>
        <v>5.3469142078548131E-8</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5.3391744945602903E-8</v>
      </c>
      <c r="L209" s="298">
        <f t="shared" si="11"/>
        <v>5.3391744945602903E-8</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5.3445098276150513E-8</v>
      </c>
      <c r="L210" s="298">
        <f t="shared" si="11"/>
        <v>5.3445098276150513E-8</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2.6741789373454681E-10</v>
      </c>
      <c r="L215" s="298">
        <f t="shared" si="11"/>
        <v>2.6741789373454681E-10</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2.6741789373454681E-10</v>
      </c>
      <c r="L216" s="298">
        <f t="shared" si="11"/>
        <v>2.6741789373454681E-10</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2.6741789373454681E-10</v>
      </c>
      <c r="L217" s="298">
        <f t="shared" si="11"/>
        <v>2.6741789373454681E-10</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2.6741789373454676E-9</v>
      </c>
      <c r="L218" s="298">
        <f t="shared" si="11"/>
        <v>2.6741789373454676E-9</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2.6741789373454676E-9</v>
      </c>
      <c r="L219" s="298">
        <f t="shared" si="11"/>
        <v>2.6741789373454676E-9</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2.6741789373454676E-9</v>
      </c>
      <c r="L220" s="298">
        <f t="shared" si="11"/>
        <v>2.6741789373454676E-9</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1.4018312200551766E-2</v>
      </c>
      <c r="L231" s="298">
        <f t="shared" ref="L231:L243" si="12">IF(ISBLANK(I231),IF(ISNUMBER(J231)=FALSE,K231,J231),I231)</f>
        <v>1.4018312200551766E-2</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1.3552896984292373E-2</v>
      </c>
      <c r="L232" s="298">
        <f t="shared" si="12"/>
        <v>1.3552896984292373E-2</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0.99841113577498564</v>
      </c>
      <c r="L233" s="298">
        <f t="shared" si="12"/>
        <v>0.99841113577498564</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4.6541521625939185E-4</v>
      </c>
      <c r="L236" s="298">
        <f t="shared" si="12"/>
        <v>4.6541521625939185E-4</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0.99896087668516698</v>
      </c>
      <c r="L239" s="298">
        <f t="shared" si="12"/>
        <v>0.99896087668516698</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1.3987750287120771E-9</v>
      </c>
      <c r="L240" s="298">
        <f t="shared" si="12"/>
        <v>1.3987750287120771E-9</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0.99827276830545097</v>
      </c>
      <c r="L243" s="298">
        <f t="shared" si="12"/>
        <v>0.99827276830545097</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0.29623197285101754</v>
      </c>
      <c r="L245" s="551">
        <f t="shared" ref="L245:L261" si="13">IF(ISBLANK(I245),IF(ISNUMBER(J245)=FALSE,K245,J245),I245)</f>
        <v>0.29623197285101754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8.3757617070045115E-13</v>
      </c>
      <c r="L247" s="551">
        <f t="shared" si="13"/>
        <v>8.3757617070045115E-13</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2.1210587833333337E-14</v>
      </c>
      <c r="L248" s="551">
        <f t="shared" si="13"/>
        <v>2.1210587833333337E-14</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1.0389013507541767</v>
      </c>
      <c r="L250" s="298">
        <f t="shared" si="13"/>
        <v>1.0389013507541767</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2.9374243662004518E-12</v>
      </c>
      <c r="L252" s="298">
        <f t="shared" si="13"/>
        <v>2.9374243662004518E-12</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2.1210587833333337E-12</v>
      </c>
      <c r="L253" s="298">
        <f t="shared" si="13"/>
        <v>2.1210587833333337E-12</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0.36374737084221381</v>
      </c>
      <c r="L255" s="298">
        <f t="shared" si="13"/>
        <v>0.36374737084221381</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1.0284714612004512E-12</v>
      </c>
      <c r="L257" s="298">
        <f t="shared" si="13"/>
        <v>1.0284714612004512E-12</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2.1210587833333338E-13</v>
      </c>
      <c r="L258" s="298">
        <f t="shared" si="13"/>
        <v>2.1210587833333338E-13</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4.415844891912707E-16</v>
      </c>
      <c r="L260" s="551">
        <f t="shared" si="13"/>
        <v>4.415844891912707E-16</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8.1592399837792659E-13</v>
      </c>
      <c r="L261" s="298">
        <f t="shared" si="13"/>
        <v>8.1592399837792659E-13</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1.7123341981656875E-5</v>
      </c>
      <c r="L263" s="298">
        <f t="shared" ref="L263:L276" si="14">IF(ISBLANK(I263),IF(ISNUMBER(J263)=FALSE,K263,J263),I263)</f>
        <v>1.7123341981656875E-5</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9.6830217674062092E-13</v>
      </c>
      <c r="L265" s="298">
        <f t="shared" si="14"/>
        <v>9.6830217674062092E-13</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2.9269333333333338E-14</v>
      </c>
      <c r="L266" s="298">
        <f t="shared" si="14"/>
        <v>2.9269333333333338E-14</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2.0509587561811523E-3</v>
      </c>
      <c r="L267" s="298">
        <f t="shared" si="14"/>
        <v>2.0509587561811523E-3</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3.8659661767406212E-12</v>
      </c>
      <c r="L269" s="298">
        <f t="shared" si="14"/>
        <v>3.8659661767406212E-12</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2.926933333333334E-12</v>
      </c>
      <c r="L270" s="298">
        <f t="shared" si="14"/>
        <v>2.926933333333334E-12</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2.1781701062661258E-4</v>
      </c>
      <c r="L271" s="298">
        <f t="shared" si="14"/>
        <v>2.1781701062661258E-4</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1.2317261767406209E-12</v>
      </c>
      <c r="L273" s="298">
        <f t="shared" si="14"/>
        <v>1.2317261767406209E-12</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2.9269333333333338E-13</v>
      </c>
      <c r="L274" s="298">
        <f t="shared" si="14"/>
        <v>2.9269333333333338E-13</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2.7366792448170331E-17</v>
      </c>
      <c r="L275" s="298">
        <f t="shared" si="14"/>
        <v>2.7366792448170331E-17</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9.3900547661483939E-13</v>
      </c>
      <c r="L276" s="298">
        <f t="shared" si="14"/>
        <v>9.3900547661483939E-13</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0.57746052392621372</v>
      </c>
      <c r="L278" s="298">
        <f t="shared" ref="L278:L285" si="15">IF(ISBLANK(I278),IF(ISNUMBER(J278)=FALSE,K278,J278),I278)</f>
        <v>0.57746052392621372</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0.57746052392621372</v>
      </c>
      <c r="L280" s="298">
        <f t="shared" si="15"/>
        <v>0.57746052392621372</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0.57746052392621372</v>
      </c>
      <c r="L282" s="298">
        <f t="shared" si="15"/>
        <v>0.57746052392621372</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4.415844891912707E-16</v>
      </c>
      <c r="L284" s="551">
        <f t="shared" si="15"/>
        <v>4.415844891912707E-16</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8.1592399837792659E-13</v>
      </c>
      <c r="L285" s="298">
        <f t="shared" si="15"/>
        <v>8.1592399837792659E-13</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2.8776119406398494E-3</v>
      </c>
      <c r="L287" s="298">
        <f t="shared" ref="L287:L302" si="16">IF(ISBLANK(I287),IF(ISNUMBER(J287)=FALSE,K287,J287),I287)</f>
        <v>2.8776119406398494E-3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2.8776119406398494E-3</v>
      </c>
      <c r="L288" s="298">
        <f t="shared" si="16"/>
        <v>2.8776119406398494E-3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2.8776119406398494E-3</v>
      </c>
      <c r="L289" s="298">
        <f t="shared" si="16"/>
        <v>2.8776119406398494E-3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21.827219460853382</v>
      </c>
      <c r="L292" s="298">
        <f t="shared" si="16"/>
        <v>21.827219460853382</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5.8211434614814531E-4</v>
      </c>
      <c r="L293" s="298">
        <f t="shared" si="16"/>
        <v>5.8211434614814531E-4</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8.3955486663057945E-3</v>
      </c>
      <c r="L297" s="298">
        <f t="shared" si="16"/>
        <v>8.3955486663057945E-3</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21.818241797840926</v>
      </c>
      <c r="L298" s="298">
        <f t="shared" si="16"/>
        <v>21.818241797840926</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0.50827870633350947</v>
      </c>
      <c r="L299" s="298">
        <f t="shared" si="16"/>
        <v>0.50827870633350947</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0.19531250000000003</v>
      </c>
      <c r="L300" s="298">
        <f t="shared" si="16"/>
        <v>0.19531250000000003</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276479.69917128154</v>
      </c>
      <c r="L301" s="298">
        <f t="shared" si="16"/>
        <v>276479.69917128154</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45.628188068307836</v>
      </c>
      <c r="L302" s="298">
        <f t="shared" si="16"/>
        <v>45.628188068307836</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28.87302619631069</v>
      </c>
      <c r="L304" s="298">
        <f t="shared" ref="L304:L309" si="17">IF(ISBLANK(I304),IF(ISNUMBER(J304)=FALSE,K304,J304),I304)</f>
        <v>28.87302619631069</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28.87302619631069</v>
      </c>
      <c r="L305" s="298">
        <f t="shared" si="17"/>
        <v>28.87302619631069</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28.87302619631069</v>
      </c>
      <c r="L306" s="298">
        <f t="shared" si="17"/>
        <v>28.87302619631069</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4.415844891912707E-16</v>
      </c>
      <c r="L308" s="298">
        <f t="shared" si="17"/>
        <v>4.415844891912707E-16</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8.1592399837792659E-13</v>
      </c>
      <c r="L309" s="298">
        <f t="shared" si="17"/>
        <v>8.1592399837792659E-13</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1.7266114823914148E-2</v>
      </c>
      <c r="L311" s="298">
        <f t="shared" ref="L311:L324" si="18">IF(ISBLANK(I311),IF(ISNUMBER(J311)=FALSE,K311,J311),I311)</f>
        <v>1.7266114823914148E-2</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21.827779728009972</v>
      </c>
      <c r="L314" s="298">
        <f t="shared" si="18"/>
        <v>21.827779728009972</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1.1423815027391908E-3</v>
      </c>
      <c r="L315" s="298">
        <f t="shared" si="18"/>
        <v>1.1423815027391908E-3</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8.3955486663057945E-3</v>
      </c>
      <c r="L319" s="298">
        <f t="shared" si="18"/>
        <v>8.3955486663057945E-3</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21.818241797840926</v>
      </c>
      <c r="L320" s="298">
        <f t="shared" si="18"/>
        <v>21.818241797840926</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0.50827870633350947</v>
      </c>
      <c r="L321" s="298">
        <f t="shared" si="18"/>
        <v>0.50827870633350947</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0.19531250000000003</v>
      </c>
      <c r="L322" s="298">
        <f t="shared" si="18"/>
        <v>0.19531250000000003</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276479.69917128154</v>
      </c>
      <c r="L323" s="298">
        <f t="shared" si="18"/>
        <v>276479.69917128154</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45.628188068307836</v>
      </c>
      <c r="L324" s="298">
        <f t="shared" si="18"/>
        <v>45.628188068307836</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1.7266114823914148E-2</v>
      </c>
      <c r="L325" s="298">
        <f>IF(ISBLANK(I330),IF(ISNUMBER(J325)=FALSE,K325,J325),I330)</f>
        <v>1.7266114823914148E-2</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21.827779728009972</v>
      </c>
      <c r="L328" s="298">
        <f t="shared" si="19"/>
        <v>21.827779728009972</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1.1423815027391908E-3</v>
      </c>
      <c r="L329" s="298">
        <f t="shared" si="19"/>
        <v>1.1423815027391908E-3</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8.3955486663057945E-3</v>
      </c>
      <c r="L333" s="298">
        <f t="shared" si="19"/>
        <v>8.3955486663057945E-3</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21.818241797840926</v>
      </c>
      <c r="L334" s="298">
        <f t="shared" si="19"/>
        <v>21.818241797840926</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0.19531250000000003</v>
      </c>
      <c r="L335" s="298">
        <f t="shared" si="19"/>
        <v>0.19531250000000003</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276479.69917128154</v>
      </c>
      <c r="L336" s="298">
        <f t="shared" si="19"/>
        <v>276479.69917128154</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0.50827870633350947</v>
      </c>
      <c r="L337" s="298">
        <f t="shared" si="19"/>
        <v>0.50827870633350947</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45.628188068307836</v>
      </c>
      <c r="L338" s="298">
        <f t="shared" si="19"/>
        <v>45.628188068307836</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1.7266114823914148E-2</v>
      </c>
      <c r="L339" s="298">
        <f t="shared" si="19"/>
        <v>1.7266114823914148E-2</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21.827779728009972</v>
      </c>
      <c r="L342" s="298">
        <f t="shared" si="19"/>
        <v>21.827779728009972</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1.1423815027391908E-3</v>
      </c>
      <c r="L343" s="298">
        <f t="shared" si="19"/>
        <v>1.1423815027391908E-3</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8.3955486663057945E-3</v>
      </c>
      <c r="L347" s="298">
        <f t="shared" si="19"/>
        <v>8.3955486663057945E-3</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21.818241797840926</v>
      </c>
      <c r="L348" s="298">
        <f t="shared" si="19"/>
        <v>21.818241797840926</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0.19531250000000003</v>
      </c>
      <c r="L349" s="298">
        <f t="shared" si="19"/>
        <v>0.19531250000000003</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276479.69917128154</v>
      </c>
      <c r="L350" s="298">
        <f t="shared" si="19"/>
        <v>276479.69917128154</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0.50827870633350947</v>
      </c>
      <c r="L351" s="298">
        <f t="shared" si="19"/>
        <v>0.50827870633350947</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45.628188068307836</v>
      </c>
      <c r="L352" s="298">
        <f t="shared" si="19"/>
        <v>45.628188068307836</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2.5000000049750844E-5</v>
      </c>
      <c r="L364" s="298">
        <f t="shared" ref="L364:L395" si="21">IF(ISBLANK(I364),IF(ISNUMBER(J364)=FALSE,K364,J364),I364)</f>
        <v>2.5000000049750844E-5</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1300.0000041555656</v>
      </c>
      <c r="L365" s="298">
        <f t="shared" si="21"/>
        <v>1300.0000041555656</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6.5449847340529238E-14</v>
      </c>
      <c r="L366" s="298">
        <f t="shared" si="21"/>
        <v>6.5449847340529238E-14</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8.5084801814669148E-11</v>
      </c>
      <c r="L367" s="298">
        <f t="shared" si="21"/>
        <v>8.5084801814669148E-11</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2.3146552936165996E-4</v>
      </c>
      <c r="L368" s="712">
        <f t="shared" si="21"/>
        <v>2.3146552936165996E-4</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9.9960915498158373E-3</v>
      </c>
      <c r="L369" s="298">
        <f t="shared" si="21"/>
        <v>9.9960915498158373E-3</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218.04941038400719</v>
      </c>
      <c r="L370" s="298">
        <f t="shared" si="21"/>
        <v>218.04941038400719</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9.8061658103693369E-2</v>
      </c>
      <c r="L371" s="298">
        <f t="shared" si="21"/>
        <v>9.8061658103693369E-2</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31932045.326543536</v>
      </c>
      <c r="L372" s="298">
        <f t="shared" si="21"/>
        <v>31932045.326543536</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1.7851501564709747E-5</v>
      </c>
      <c r="L373" s="298">
        <f t="shared" si="21"/>
        <v>1.7851501564709747E-5</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1.5918772869430395</v>
      </c>
      <c r="L374" s="298">
        <f t="shared" si="21"/>
        <v>1.5918772869430395</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0.9954249167632393</v>
      </c>
      <c r="L375" s="298">
        <f t="shared" si="21"/>
        <v>0.9954249167632393</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2.5873200552078437</v>
      </c>
      <c r="L376" s="298">
        <f t="shared" si="21"/>
        <v>2.5873200552078437</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2.3146552983392571E-4</v>
      </c>
      <c r="L377" s="298">
        <f t="shared" si="21"/>
        <v>2.3146552983392571E-4</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1.0030148799940002</v>
      </c>
      <c r="L378" s="298">
        <f t="shared" si="21"/>
        <v>1.0030148799940002</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4.6271731182553885E-13</v>
      </c>
      <c r="L379" s="298">
        <f t="shared" si="21"/>
        <v>4.6271731182553885E-13</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9.9960916215246949E-3</v>
      </c>
      <c r="L380" s="298">
        <f t="shared" si="21"/>
        <v>9.9960916215246949E-3</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218.04941191043784</v>
      </c>
      <c r="L381" s="298">
        <f t="shared" si="21"/>
        <v>218.04941191043784</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9.8061658807157254E-2</v>
      </c>
      <c r="L382" s="298">
        <f t="shared" si="21"/>
        <v>9.8061658807157254E-2</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31932045.390280396</v>
      </c>
      <c r="L383" s="298">
        <f t="shared" si="21"/>
        <v>31932045.390280396</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1.7851501546160579E-5</v>
      </c>
      <c r="L384" s="298">
        <f t="shared" si="21"/>
        <v>1.7851501546160579E-5</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1.5918772921900914</v>
      </c>
      <c r="L385" s="298">
        <f t="shared" si="21"/>
        <v>1.5918772921900914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0.99542491679518963</v>
      </c>
      <c r="L386" s="298">
        <f t="shared" si="21"/>
        <v>0.99542491679518963</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2.5873200604868272</v>
      </c>
      <c r="L387" s="298">
        <f t="shared" si="21"/>
        <v>2.5873200604868272</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2.9754871066880393E-5</v>
      </c>
      <c r="L389" s="298">
        <f t="shared" si="21"/>
        <v>2.9754871066880393E-5</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0.11068533509591852</v>
      </c>
      <c r="L390" s="298">
        <f t="shared" si="21"/>
        <v>0.11068533509591852</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5.216222073480953</v>
      </c>
      <c r="L392" s="298">
        <f t="shared" si="21"/>
        <v>5.216222073480953</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9.9353272227143929E-6</v>
      </c>
      <c r="L394" s="298">
        <f t="shared" si="21"/>
        <v>9.9353272227143929E-6</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1.6285714285714285E-2</v>
      </c>
      <c r="L395" s="298">
        <f t="shared" si="21"/>
        <v>1.6285714285714285E-2</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0.99270239928043913</v>
      </c>
      <c r="L399" s="298">
        <f t="shared" si="22"/>
        <v>0.99270239928043913</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6.6121935704178635E-5</v>
      </c>
      <c r="L400" s="298">
        <f t="shared" si="22"/>
        <v>6.6121935704178635E-5</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0.11068533509591852</v>
      </c>
      <c r="L401" s="298">
        <f t="shared" si="22"/>
        <v>0.11068533509591852</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5.216222073480953</v>
      </c>
      <c r="L403" s="298">
        <f t="shared" si="22"/>
        <v>5.216222073480953</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9.9353272227143929E-6</v>
      </c>
      <c r="L405" s="298">
        <f t="shared" si="22"/>
        <v>9.9353272227143929E-6</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1.6285714285714285E-2</v>
      </c>
      <c r="L406" s="298">
        <f t="shared" si="22"/>
        <v>1.6285714285714285E-2</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0.99270239928043913</v>
      </c>
      <c r="L410" s="298">
        <f t="shared" si="22"/>
        <v>0.99270239928043913</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1.1020322617363108E-5</v>
      </c>
      <c r="L411" s="298">
        <f t="shared" si="22"/>
        <v>1.1020322617363108E-5</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0.11068533509591852</v>
      </c>
      <c r="L412" s="298">
        <f t="shared" si="22"/>
        <v>0.11068533509591852</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5.216222073480953</v>
      </c>
      <c r="L414" s="298">
        <f t="shared" si="22"/>
        <v>5.216222073480953</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9.9353272227143929E-6</v>
      </c>
      <c r="L416" s="298">
        <f t="shared" si="22"/>
        <v>9.9353272227143929E-6</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1.6285714285714285E-2</v>
      </c>
      <c r="L417" s="298">
        <f t="shared" si="22"/>
        <v>1.6285714285714285E-2</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0.99270239928043913</v>
      </c>
      <c r="L421" s="298">
        <f t="shared" si="22"/>
        <v>0.99270239928043913</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2.9754871256005804E-5</v>
      </c>
      <c r="L422" s="298">
        <f t="shared" si="22"/>
        <v>2.9754871256005804E-5</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0.11068533579944734</v>
      </c>
      <c r="L423" s="298">
        <f t="shared" si="22"/>
        <v>0.11068533579944734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5.2162220730734985</v>
      </c>
      <c r="L424" s="298">
        <f t="shared" si="22"/>
        <v>5.2162220730734985</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9.9353272094936723E-6</v>
      </c>
      <c r="L425" s="298">
        <f t="shared" si="22"/>
        <v>9.9353272094936723E-6</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1.628571431373721E-2</v>
      </c>
      <c r="L426" s="298">
        <f t="shared" si="22"/>
        <v>1.628571431373721E-2</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0.99270239933124527</v>
      </c>
      <c r="L427" s="298">
        <f t="shared" si="22"/>
        <v>0.99270239933124527</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6.6121936124457329E-5</v>
      </c>
      <c r="L428" s="298">
        <f t="shared" ref="L428:L459" si="23">IF(ISBLANK(I428),IF(ISNUMBER(J428)=FALSE,K428,J428),I428)</f>
        <v>6.6121936124457329E-5</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0.11068533579944734</v>
      </c>
      <c r="L429" s="298">
        <f t="shared" si="23"/>
        <v>0.11068533579944734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5.2162220730734985</v>
      </c>
      <c r="L430" s="298">
        <f t="shared" si="23"/>
        <v>5.2162220730734985</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9.9353272094936723E-6</v>
      </c>
      <c r="L431" s="298">
        <f t="shared" si="23"/>
        <v>9.9353272094936723E-6</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1.628571431373721E-2</v>
      </c>
      <c r="L432" s="298">
        <f t="shared" si="23"/>
        <v>1.628571431373721E-2</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0.99270239933124527</v>
      </c>
      <c r="L433" s="298">
        <f t="shared" si="23"/>
        <v>0.99270239933124527</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1.1020322687409557E-5</v>
      </c>
      <c r="L434" s="298">
        <f t="shared" si="23"/>
        <v>1.1020322687409557E-5</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0.11068533579944734</v>
      </c>
      <c r="L435" s="298">
        <f t="shared" si="23"/>
        <v>0.11068533579944734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5.2162220730734985</v>
      </c>
      <c r="L436" s="298">
        <f t="shared" si="23"/>
        <v>5.2162220730734985</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9.9353272094936723E-6</v>
      </c>
      <c r="L437" s="298">
        <f t="shared" si="23"/>
        <v>9.9353272094936723E-6</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1.628571431373721E-2</v>
      </c>
      <c r="L438" s="298">
        <f t="shared" si="23"/>
        <v>1.628571431373721E-2</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0.99270239933124527</v>
      </c>
      <c r="L439" s="298">
        <f t="shared" si="23"/>
        <v>0.99270239933124527</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2.7542287735590421E-7</v>
      </c>
      <c r="L443" s="298">
        <f t="shared" si="23"/>
        <v>2.7542287735590421E-7</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0.11065111079484788</v>
      </c>
      <c r="L444" s="298">
        <f t="shared" si="23"/>
        <v>0.11065111079484788</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5.431570579919752</v>
      </c>
      <c r="L446" s="298">
        <f t="shared" si="23"/>
        <v>5.431570579919752</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1.7696469481487479E-4</v>
      </c>
      <c r="L448" s="298">
        <f t="shared" si="23"/>
        <v>1.7696469481487479E-4</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0.9688167761201304</v>
      </c>
      <c r="L449" s="298">
        <f t="shared" si="23"/>
        <v>0.9688167761201304</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3.0296516509149461E-6</v>
      </c>
      <c r="L450" s="298">
        <f t="shared" si="23"/>
        <v>3.0296516509149461E-6</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0.11065111079484788</v>
      </c>
      <c r="L451" s="298">
        <f t="shared" si="23"/>
        <v>0.11065111079484788</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4.5817221571682812E-7</v>
      </c>
      <c r="L453" s="298">
        <f t="shared" si="23"/>
        <v>4.5817221571682812E-7</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0.10518256400733346</v>
      </c>
      <c r="L454" s="298">
        <f t="shared" si="23"/>
        <v>0.10518256400733346</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2.754228791073785E-7</v>
      </c>
      <c r="L456" s="298">
        <f t="shared" si="23"/>
        <v>2.754228791073785E-7</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0.11065111149850249</v>
      </c>
      <c r="L457" s="298">
        <f t="shared" si="23"/>
        <v>0.11065111149850249</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5.4315705787163981</v>
      </c>
      <c r="L458" s="298">
        <f t="shared" si="23"/>
        <v>5.4315705787163981</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1.7696469463826262E-4</v>
      </c>
      <c r="L459" s="298">
        <f t="shared" si="23"/>
        <v>1.7696469463826262E-4</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0.96881677633498575</v>
      </c>
      <c r="L460" s="298">
        <f t="shared" ref="L460:L491" si="24">IF(ISBLANK(I460),IF(ISNUMBER(J460)=FALSE,K460,J460),I460)</f>
        <v>0.96881677633498575</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3.0296516701811636E-6</v>
      </c>
      <c r="L461" s="298">
        <f t="shared" si="24"/>
        <v>3.0296516701811636E-6</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0.11065111149850249</v>
      </c>
      <c r="L462" s="298">
        <f t="shared" si="24"/>
        <v>0.11065111149850249</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4.5817221878136236E-7</v>
      </c>
      <c r="L463" s="298">
        <f t="shared" si="24"/>
        <v>4.5817221878136236E-7</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0.10518256471085836</v>
      </c>
      <c r="L464" s="298">
        <f t="shared" si="24"/>
        <v>0.10518256471085836</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4.1065369261477055E-6</v>
      </c>
      <c r="L486" s="712">
        <f t="shared" si="24"/>
        <v>4.1065369261477055E-6</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1.3688456420492352E-4</v>
      </c>
      <c r="L487" s="298">
        <f t="shared" si="24"/>
        <v>1.3688456420492352E-4</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4.1065369261477055E-5</v>
      </c>
      <c r="L488" s="298">
        <f t="shared" si="24"/>
        <v>4.1065369261477055E-5</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4.1065395734768794E-6</v>
      </c>
      <c r="L489" s="298">
        <f t="shared" si="24"/>
        <v>4.1065395734768794E-6</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1.3688465244922931E-4</v>
      </c>
      <c r="L490" s="298">
        <f t="shared" si="24"/>
        <v>1.3688465244922931E-4</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4.1065395734768794E-5</v>
      </c>
      <c r="L491" s="298">
        <f t="shared" si="24"/>
        <v>4.1065395734768794E-5</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4.1394464800212992E-6</v>
      </c>
      <c r="L492" s="298">
        <f t="shared" ref="L492:L521" si="25">IF(ISBLANK(I492),IF(ISNUMBER(J492)=FALSE,K492,J492),I492)</f>
        <v>4.1394464800212992E-6</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1.3798154933404331E-4</v>
      </c>
      <c r="L493" s="298">
        <f t="shared" si="25"/>
        <v>1.3798154933404331E-4</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4.1394464800212997E-5</v>
      </c>
      <c r="L494" s="298">
        <f t="shared" si="25"/>
        <v>4.1394464800212997E-5</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2.7100000000000001E-8</v>
      </c>
      <c r="L527" s="298">
        <f t="shared" si="26"/>
        <v>2.7100000000000001E-8</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2.7100000000000001E-8</v>
      </c>
      <c r="L528" s="298">
        <f t="shared" si="26"/>
        <v>2.7100000000000001E-8</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2.7100000000000001E-8</v>
      </c>
      <c r="L529" s="298">
        <f t="shared" si="26"/>
        <v>2.7100000000000001E-8</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2.7100000000000001E-8</v>
      </c>
      <c r="L530" s="298">
        <f t="shared" si="26"/>
        <v>2.7100000000000001E-8</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2.7100000000000001E-8</v>
      </c>
      <c r="L531" s="298">
        <f t="shared" si="26"/>
        <v>2.7100000000000001E-8</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2.7100000000000001E-8</v>
      </c>
      <c r="L532" s="298">
        <f t="shared" si="26"/>
        <v>2.7100000000000001E-8</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2.7100000000000001E-8</v>
      </c>
      <c r="L533" s="298">
        <f t="shared" si="26"/>
        <v>2.7100000000000001E-8</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2.7100000000000001E-8</v>
      </c>
      <c r="L534" s="298">
        <f t="shared" si="26"/>
        <v>2.7100000000000001E-8</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2.7100000000000001E-8</v>
      </c>
      <c r="L535" s="298">
        <f t="shared" si="26"/>
        <v>2.7100000000000001E-8</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2.9925368256384244E-8</v>
      </c>
      <c r="L536" s="298">
        <f t="shared" si="26"/>
        <v>2.9925368256384244E-8</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2.9925368256384244E-8</v>
      </c>
      <c r="L537" s="298">
        <f t="shared" si="26"/>
        <v>2.9925368256384244E-8</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2.9925368256384244E-8</v>
      </c>
      <c r="L538" s="298">
        <f t="shared" si="26"/>
        <v>2.9925368256384244E-8</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2.9925368256384244E-8</v>
      </c>
      <c r="L539" s="298">
        <f t="shared" si="26"/>
        <v>2.9925368256384244E-8</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2.9925368256384244E-8</v>
      </c>
      <c r="L540" s="298">
        <f t="shared" si="26"/>
        <v>2.9925368256384244E-8</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2.9925368256384244E-8</v>
      </c>
      <c r="L541" s="298">
        <f t="shared" si="26"/>
        <v>2.9925368256384244E-8</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2.7944293241586505E-8</v>
      </c>
      <c r="L542" s="298">
        <f t="shared" si="26"/>
        <v>2.7944293241586505E-8</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2.7944293241586505E-8</v>
      </c>
      <c r="L543" s="298">
        <f t="shared" si="26"/>
        <v>2.7944293241586505E-8</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2.7944293241586505E-8</v>
      </c>
      <c r="L544" s="298">
        <f t="shared" si="26"/>
        <v>2.7944293241586505E-8</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2.7980272442497116E-8</v>
      </c>
      <c r="L545" s="298">
        <f t="shared" si="26"/>
        <v>2.7980272442497116E-8</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2.7980272442497116E-8</v>
      </c>
      <c r="L546" s="298">
        <f t="shared" si="26"/>
        <v>2.7980272442497116E-8</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2.7030000000000001E-8</v>
      </c>
      <c r="L547" s="298">
        <f t="shared" si="26"/>
        <v>2.7030000000000001E-8</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2.7462425498339054E-8</v>
      </c>
      <c r="L548" s="298">
        <f t="shared" si="26"/>
        <v>2.7462425498339054E-8</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2.7462425498339054E-8</v>
      </c>
      <c r="L549" s="298">
        <f t="shared" si="26"/>
        <v>2.7462425498339054E-8</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2.7030000000000001E-8</v>
      </c>
      <c r="L550" s="298">
        <f t="shared" si="26"/>
        <v>2.7030000000000001E-8</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2.7980272442497116E-8</v>
      </c>
      <c r="L551" s="298">
        <f t="shared" si="26"/>
        <v>2.7980272442497116E-8</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2.7980272442497116E-8</v>
      </c>
      <c r="L552" s="298">
        <f t="shared" si="26"/>
        <v>2.7980272442497116E-8</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2.7030000000000001E-8</v>
      </c>
      <c r="L553" s="298">
        <f t="shared" si="26"/>
        <v>2.7030000000000001E-8</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73" transitionEvaluation="1" transitionEntry="1" codeName="Sheet3"/>
  <dimension ref="A1:U565"/>
  <sheetViews>
    <sheetView topLeftCell="A373" zoomScaleNormal="100" workbookViewId="0">
      <selection activeCell="K388" sqref="K388"/>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1.6728840535051859E-12</v>
      </c>
      <c r="L70" s="298">
        <f t="shared" ref="L70:L111" si="4">IF(ISBLANK(I70),IF(ISNUMBER(J70)=FALSE,K70,J70),I70)</f>
        <v>1.6728840535051859E-12</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6.3044130455043946E-3</v>
      </c>
      <c r="L71" s="298">
        <f t="shared" si="4"/>
        <v>6.3044130455043946E-3</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0.99369558695282267</v>
      </c>
      <c r="L72" s="298">
        <f t="shared" si="4"/>
        <v>0.99369558695282267</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5.307038677347411E-21</v>
      </c>
      <c r="L73" s="298">
        <f t="shared" si="4"/>
        <v>5.307038677347411E-21</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1.8842900170831705E+20</v>
      </c>
      <c r="L74" s="298">
        <f t="shared" si="4"/>
        <v>1.8842900170831705E+20</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9.437046228796313E-9</v>
      </c>
      <c r="L115" s="298">
        <f t="shared" ref="L115:L130" si="5">IF(ISBLANK(I115),IF(ISNUMBER(J115)=FALSE,K115,J115),I115)</f>
        <v>9.437046228796313E-9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1.0380750851675944E-7</v>
      </c>
      <c r="L116" s="298">
        <f t="shared" si="5"/>
        <v>1.0380750851675944E-7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4.021254198296481E-6</v>
      </c>
      <c r="L117" s="298">
        <f t="shared" si="5"/>
        <v>4.021254198296481E-6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1.019200992709257E-6</v>
      </c>
      <c r="L118" s="298">
        <f t="shared" si="5"/>
        <v>1.019200992709257E-6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2.2648910949094599E-6</v>
      </c>
      <c r="L119" s="298">
        <f t="shared" si="5"/>
        <v>2.2648910949094599E-6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3.774818491515766E-7</v>
      </c>
      <c r="L120" s="298">
        <f t="shared" si="5"/>
        <v>3.774818491515766E-7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2.3628845388701045E-25</v>
      </c>
      <c r="L121" s="298">
        <f t="shared" si="5"/>
        <v>2.3628845388701045E-25</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7.8648807973472265E-24</v>
      </c>
      <c r="L122" s="298">
        <f t="shared" si="5"/>
        <v>7.8648807973472265E-24</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1.1809110029256931E-25</v>
      </c>
      <c r="L123" s="298">
        <f t="shared" si="5"/>
        <v>1.1809110029256931E-25</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4.6794575955110109E-24</v>
      </c>
      <c r="L124" s="298">
        <f t="shared" si="5"/>
        <v>4.6794575955110109E-24</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2.1294069913023511E-24</v>
      </c>
      <c r="L125" s="298">
        <f t="shared" si="5"/>
        <v>2.1294069913023511E-24</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4.6794575955110109E-24</v>
      </c>
      <c r="L126" s="298">
        <f t="shared" si="5"/>
        <v>4.6794575955110109E-24</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7.7960726898075554E-6</v>
      </c>
      <c r="L127" s="298">
        <f t="shared" si="5"/>
        <v>7.7960726898075554E-6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9.4782486534442022E-6</v>
      </c>
      <c r="L128" s="298">
        <f t="shared" si="5"/>
        <v>9.4782486534442022E-6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2.6821759636349741E-6</v>
      </c>
      <c r="L129" s="298">
        <f t="shared" si="5"/>
        <v>2.6821759636349741E-6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1.7527781262359391E-15</v>
      </c>
      <c r="L139" s="298">
        <f t="shared" si="6"/>
        <v>1.7527781262359391E-15</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2.3397287977555055E-25</v>
      </c>
      <c r="L145" s="298">
        <f t="shared" si="6"/>
        <v>2.3397287977555055E-25</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4.2588139826047023E-25</v>
      </c>
      <c r="L146" s="298">
        <f t="shared" si="6"/>
        <v>4.2588139826047023E-25</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2.3397287977555055E-25</v>
      </c>
      <c r="L147" s="298">
        <f t="shared" si="6"/>
        <v>2.3397287977555055E-25</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2.6741789373454676E-10</v>
      </c>
      <c r="L149" s="298">
        <f t="shared" si="6"/>
        <v>2.6741789373454676E-10</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3.6632588710578216E-10</v>
      </c>
      <c r="L200" s="298">
        <f t="shared" ref="L200:L232" si="10">IF(ISBLANK(I200),IF(ISNUMBER(J200)=FALSE,K200,J200),I200)</f>
        <v>3.6632588710578216E-10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5.3469142078548131E-8</v>
      </c>
      <c r="L201" s="298">
        <f t="shared" si="10"/>
        <v>5.3469142078548131E-8</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5.3391744945602903E-8</v>
      </c>
      <c r="L202" s="298">
        <f t="shared" si="10"/>
        <v>5.3391744945602903E-8</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5.3445098276150513E-8</v>
      </c>
      <c r="L203" s="298">
        <f t="shared" si="10"/>
        <v>5.3445098276150513E-8</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3.1416462888881063E-9</v>
      </c>
      <c r="L204" s="298">
        <f t="shared" si="10"/>
        <v>3.1416462888881063E-9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3.1416462888881063E-9</v>
      </c>
      <c r="L205" s="298">
        <f t="shared" si="10"/>
        <v>3.1416462888881063E-9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1.1807512270678802E-9</v>
      </c>
      <c r="L206" s="298">
        <f t="shared" si="10"/>
        <v>1.1807512270678802E-9</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2.7056449122625908E-9</v>
      </c>
      <c r="L207" s="298">
        <f t="shared" si="10"/>
        <v>2.7056449122625908E-9</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2.6884976624560323E-9</v>
      </c>
      <c r="L208" s="298">
        <f t="shared" si="10"/>
        <v>2.6884976624560323E-9</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2.7056449122625908E-9</v>
      </c>
      <c r="L209" s="298">
        <f t="shared" si="10"/>
        <v>2.7056449122625908E-9</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5.2776358660991025E-18</v>
      </c>
      <c r="L211" s="298">
        <f t="shared" si="10"/>
        <v>5.2776358660991025E-18</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5.3469142078548131E-8</v>
      </c>
      <c r="L214" s="298">
        <f t="shared" si="10"/>
        <v>5.3469142078548131E-8</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5.3391744945602903E-8</v>
      </c>
      <c r="L215" s="298">
        <f t="shared" si="10"/>
        <v>5.3391744945602903E-8</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5.3445098276150513E-8</v>
      </c>
      <c r="L216" s="298">
        <f t="shared" si="10"/>
        <v>5.3445098276150513E-8</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2.6741789373454681E-10</v>
      </c>
      <c r="L221" s="298">
        <f t="shared" si="10"/>
        <v>2.6741789373454681E-10</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2.6741789373454681E-10</v>
      </c>
      <c r="L222" s="298">
        <f t="shared" si="10"/>
        <v>2.6741789373454681E-10</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2.6741789373454681E-10</v>
      </c>
      <c r="L223" s="298">
        <f t="shared" si="10"/>
        <v>2.6741789373454681E-10</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2.6741789373454676E-9</v>
      </c>
      <c r="L224" s="298">
        <f t="shared" si="10"/>
        <v>2.6741789373454676E-9</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2.6741789373454676E-9</v>
      </c>
      <c r="L225" s="298">
        <f t="shared" si="10"/>
        <v>2.6741789373454676E-9</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2.6741789373454676E-9</v>
      </c>
      <c r="L226" s="298">
        <f t="shared" si="10"/>
        <v>2.6741789373454676E-9</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1.4018312200551766E-2</v>
      </c>
      <c r="L237" s="298">
        <f t="shared" ref="L237:L249" si="11">IF(ISBLANK(I237),IF(ISNUMBER(J237)=FALSE,K237,J237),I237)</f>
        <v>1.4018312200551766E-2</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1.3552896984292373E-2</v>
      </c>
      <c r="L238" s="298">
        <f t="shared" si="11"/>
        <v>1.3552896984292373E-2</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0.99841113577498564</v>
      </c>
      <c r="L241" s="298">
        <f t="shared" si="11"/>
        <v>0.99841113577498564</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4.6541521625939185E-4</v>
      </c>
      <c r="L242" s="298">
        <f t="shared" si="11"/>
        <v>4.6541521625939185E-4</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0.99896087668516698</v>
      </c>
      <c r="L245" s="298">
        <f t="shared" si="11"/>
        <v>0.99896087668516698</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1.3987750287120771E-9</v>
      </c>
      <c r="L246" s="298">
        <f t="shared" si="11"/>
        <v>1.3987750287120771E-9</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0.99827276830545097</v>
      </c>
      <c r="L249" s="298">
        <f t="shared" si="11"/>
        <v>0.99827276830545097</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0.29623197285101754</v>
      </c>
      <c r="L251" s="551">
        <f t="shared" ref="L251:L267" si="12">IF(ISBLANK(I251),IF(ISNUMBER(J251)=FALSE,K251,J251),I251)</f>
        <v>0.29623197285101754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8.3757617070045115E-13</v>
      </c>
      <c r="L253" s="551">
        <f t="shared" si="12"/>
        <v>8.3757617070045115E-13</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2.1210587833333337E-14</v>
      </c>
      <c r="L254" s="551">
        <f t="shared" si="12"/>
        <v>2.1210587833333337E-14</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1.0389013507541767</v>
      </c>
      <c r="L256" s="298">
        <f t="shared" si="12"/>
        <v>1.0389013507541767</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2.9374243662004518E-12</v>
      </c>
      <c r="L258" s="298">
        <f t="shared" si="12"/>
        <v>2.9374243662004518E-12</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2.1210587833333337E-12</v>
      </c>
      <c r="L259" s="298">
        <f t="shared" si="12"/>
        <v>2.1210587833333337E-12</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0.36374737084221381</v>
      </c>
      <c r="L261" s="298">
        <f t="shared" si="12"/>
        <v>0.36374737084221381</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1.0284714612004512E-12</v>
      </c>
      <c r="L263" s="298">
        <f t="shared" si="12"/>
        <v>1.0284714612004512E-12</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2.1210587833333338E-13</v>
      </c>
      <c r="L264" s="298">
        <f t="shared" si="12"/>
        <v>2.1210587833333338E-13</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4.415844891912707E-16</v>
      </c>
      <c r="L266" s="551">
        <f t="shared" si="12"/>
        <v>4.415844891912707E-16</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8.1592399837792659E-13</v>
      </c>
      <c r="L267" s="298">
        <f t="shared" si="12"/>
        <v>8.1592399837792659E-13</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1.7123341981656875E-5</v>
      </c>
      <c r="L269" s="298">
        <f t="shared" ref="L269:L282" si="13">IF(ISBLANK(I269),IF(ISNUMBER(J269)=FALSE,K269,J269),I269)</f>
        <v>1.7123341981656875E-5</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9.6830217674062092E-13</v>
      </c>
      <c r="L271" s="298">
        <f t="shared" si="13"/>
        <v>9.6830217674062092E-13</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2.9269333333333338E-14</v>
      </c>
      <c r="L272" s="298">
        <f t="shared" si="13"/>
        <v>2.9269333333333338E-14</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2.0509587561811523E-3</v>
      </c>
      <c r="L273" s="298">
        <f t="shared" si="13"/>
        <v>2.0509587561811523E-3</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3.8659661767406212E-12</v>
      </c>
      <c r="L275" s="298">
        <f t="shared" si="13"/>
        <v>3.8659661767406212E-12</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2.926933333333334E-12</v>
      </c>
      <c r="L276" s="298">
        <f t="shared" si="13"/>
        <v>2.926933333333334E-12</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2.1781701062661258E-4</v>
      </c>
      <c r="L277" s="298">
        <f t="shared" si="13"/>
        <v>2.1781701062661258E-4</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1.2317261767406209E-12</v>
      </c>
      <c r="L279" s="298">
        <f t="shared" si="13"/>
        <v>1.2317261767406209E-12</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2.9269333333333338E-13</v>
      </c>
      <c r="L280" s="298">
        <f t="shared" si="13"/>
        <v>2.9269333333333338E-13</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2.7366792448170331E-17</v>
      </c>
      <c r="L281" s="298">
        <f t="shared" si="13"/>
        <v>2.7366792448170331E-17</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9.3900547661483939E-13</v>
      </c>
      <c r="L282" s="298">
        <f t="shared" si="13"/>
        <v>9.3900547661483939E-13</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0.57746052392621372</v>
      </c>
      <c r="L284" s="298">
        <f t="shared" ref="L284:L291" si="14">IF(ISBLANK(I284),IF(ISNUMBER(J284)=FALSE,K284,J284),I284)</f>
        <v>0.57746052392621372</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0.57746052392621372</v>
      </c>
      <c r="L286" s="298">
        <f t="shared" si="14"/>
        <v>0.57746052392621372</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0.57746052392621372</v>
      </c>
      <c r="L288" s="298">
        <f t="shared" si="14"/>
        <v>0.57746052392621372</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4.415844891912707E-16</v>
      </c>
      <c r="L290" s="551">
        <f t="shared" si="14"/>
        <v>4.415844891912707E-16</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8.1592399837792659E-13</v>
      </c>
      <c r="L291" s="298">
        <f t="shared" si="14"/>
        <v>8.1592399837792659E-13</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2.8776119406398494E-3</v>
      </c>
      <c r="L293" s="298">
        <f t="shared" ref="L293:L308" si="15">IF(ISBLANK(I293),IF(ISNUMBER(J293)=FALSE,K293,J293),I293)</f>
        <v>2.8776119406398494E-3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2.8776119406398494E-3</v>
      </c>
      <c r="L294" s="298">
        <f t="shared" si="15"/>
        <v>2.8776119406398494E-3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2.8776119406398494E-3</v>
      </c>
      <c r="L295" s="298">
        <f t="shared" si="15"/>
        <v>2.8776119406398494E-3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21.827219460853382</v>
      </c>
      <c r="L298" s="298">
        <f t="shared" si="15"/>
        <v>21.827219460853382</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5.8211434614814531E-4</v>
      </c>
      <c r="L299" s="990">
        <f t="shared" si="15"/>
        <v>5.8211434614814531E-4</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8.3955486663057945E-3</v>
      </c>
      <c r="L303" s="298">
        <f t="shared" si="15"/>
        <v>8.3955486663057945E-3</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21.818241797840926</v>
      </c>
      <c r="L304" s="298">
        <f t="shared" si="15"/>
        <v>21.818241797840926</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0.50827870633350947</v>
      </c>
      <c r="L305" s="298">
        <f t="shared" si="15"/>
        <v>0.50827870633350947</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0.19531250000000003</v>
      </c>
      <c r="L306" s="298">
        <f t="shared" si="15"/>
        <v>0.19531250000000003</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276479.69917128154</v>
      </c>
      <c r="L307" s="298">
        <f t="shared" si="15"/>
        <v>276479.69917128154</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45.628188068307836</v>
      </c>
      <c r="L308" s="298">
        <f t="shared" si="15"/>
        <v>45.628188068307836</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28.87302619631069</v>
      </c>
      <c r="L310" s="298">
        <f t="shared" ref="L310:L315" si="16">IF(ISBLANK(I310),IF(ISNUMBER(J310)=FALSE,K310,J310),I310)</f>
        <v>28.87302619631069</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28.87302619631069</v>
      </c>
      <c r="L311" s="298">
        <f t="shared" si="16"/>
        <v>28.87302619631069</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28.87302619631069</v>
      </c>
      <c r="L312" s="298">
        <f t="shared" si="16"/>
        <v>28.87302619631069</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4.415844891912707E-16</v>
      </c>
      <c r="L314" s="298">
        <f t="shared" si="16"/>
        <v>4.415844891912707E-16</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8.1592399837792659E-13</v>
      </c>
      <c r="L315" s="298">
        <f t="shared" si="16"/>
        <v>8.1592399837792659E-13</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1.7266114823914148E-2</v>
      </c>
      <c r="L317" s="298">
        <f t="shared" ref="L317:L358" si="17">IF(ISBLANK(I317),IF(ISNUMBER(J317)=FALSE,K317,J317),I317)</f>
        <v>1.7266114823914148E-2</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21.827779728009972</v>
      </c>
      <c r="L320" s="298">
        <f t="shared" si="17"/>
        <v>21.827779728009972</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1.1423815027391908E-3</v>
      </c>
      <c r="L321" s="298">
        <f t="shared" si="17"/>
        <v>1.1423815027391908E-3</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8.3955486663057945E-3</v>
      </c>
      <c r="L325" s="298">
        <f t="shared" si="17"/>
        <v>8.3955486663057945E-3</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21.818241797840926</v>
      </c>
      <c r="L326" s="298">
        <f t="shared" si="17"/>
        <v>21.818241797840926</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0.50827870633350947</v>
      </c>
      <c r="L327" s="298">
        <f t="shared" si="17"/>
        <v>0.50827870633350947</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0.19531250000000003</v>
      </c>
      <c r="L328" s="298">
        <f t="shared" si="17"/>
        <v>0.19531250000000003</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276479.69917128154</v>
      </c>
      <c r="L329" s="298">
        <f t="shared" si="17"/>
        <v>276479.69917128154</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45.628188068307836</v>
      </c>
      <c r="L330" s="298">
        <f t="shared" si="17"/>
        <v>45.628188068307836</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1.7266114823914148E-2</v>
      </c>
      <c r="L331" s="298">
        <f t="shared" si="17"/>
        <v>1.7266114823914148E-2</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21.827779728009972</v>
      </c>
      <c r="L334" s="298">
        <f t="shared" si="17"/>
        <v>21.827779728009972</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1.1423815027391908E-3</v>
      </c>
      <c r="L335" s="298">
        <f t="shared" si="17"/>
        <v>1.1423815027391908E-3</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8.3955486663057945E-3</v>
      </c>
      <c r="L339" s="298">
        <f t="shared" si="17"/>
        <v>8.3955486663057945E-3</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21.818241797840926</v>
      </c>
      <c r="L340" s="298">
        <f t="shared" si="17"/>
        <v>21.818241797840926</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0.19531250000000003</v>
      </c>
      <c r="L341" s="298">
        <f t="shared" si="17"/>
        <v>0.19531250000000003</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276479.69917128154</v>
      </c>
      <c r="L342" s="298">
        <f t="shared" si="17"/>
        <v>276479.69917128154</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0.50827870633350947</v>
      </c>
      <c r="L343" s="298">
        <f t="shared" si="17"/>
        <v>0.50827870633350947</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45.628188068307836</v>
      </c>
      <c r="L344" s="298">
        <f t="shared" si="17"/>
        <v>45.628188068307836</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1.7266114823914148E-2</v>
      </c>
      <c r="L345" s="298">
        <f t="shared" si="17"/>
        <v>1.7266114823914148E-2</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21.827779728009972</v>
      </c>
      <c r="L348" s="298">
        <f t="shared" si="17"/>
        <v>21.827779728009972</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1.1423815027391908E-3</v>
      </c>
      <c r="L349" s="298">
        <f t="shared" si="17"/>
        <v>1.1423815027391908E-3</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8.3955486663057945E-3</v>
      </c>
      <c r="L353" s="298">
        <f t="shared" si="17"/>
        <v>8.3955486663057945E-3</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21.818241797840926</v>
      </c>
      <c r="L354" s="298">
        <f t="shared" si="17"/>
        <v>21.818241797840926</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0.19531250000000003</v>
      </c>
      <c r="L355" s="298">
        <f t="shared" si="17"/>
        <v>0.19531250000000003</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276479.69917128154</v>
      </c>
      <c r="L356" s="298">
        <f t="shared" si="17"/>
        <v>276479.69917128154</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0.50827870633350947</v>
      </c>
      <c r="L357" s="298">
        <f t="shared" si="17"/>
        <v>0.50827870633350947</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45.628188068307836</v>
      </c>
      <c r="L358" s="298">
        <f t="shared" si="17"/>
        <v>45.628188068307836</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2.5000000049750844E-5</v>
      </c>
      <c r="L370" s="550">
        <f t="shared" ref="L370:L401" si="19">IF(ISBLANK(I370),IF(ISNUMBER(J370)=FALSE,K370,J370),I370)</f>
        <v>2.5000000049750844E-5</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1300.0000041555656</v>
      </c>
      <c r="L371" s="550">
        <f t="shared" si="19"/>
        <v>1300.0000041555656</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6.5449847340529238E-14</v>
      </c>
      <c r="L372" s="550">
        <f t="shared" si="19"/>
        <v>6.5449847340529238E-14</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8.5084801814669148E-11</v>
      </c>
      <c r="L373" s="550">
        <f t="shared" si="19"/>
        <v>8.5084801814669148E-11</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2.3146552716305082E-4</v>
      </c>
      <c r="L374" s="706">
        <f t="shared" si="19"/>
        <v>2.3146552716305082E-4</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9.9960915498158373E-3</v>
      </c>
      <c r="L375" s="550">
        <f t="shared" si="19"/>
        <v>9.9960915498158373E-3</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218.04941038400725</v>
      </c>
      <c r="L376" s="550">
        <f t="shared" si="19"/>
        <v>218.04941038400725</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9.8061658103693369E-2</v>
      </c>
      <c r="L377" s="550">
        <f t="shared" si="19"/>
        <v>9.8061658103693369E-2</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31932045.326543536</v>
      </c>
      <c r="L378" s="550">
        <f t="shared" si="19"/>
        <v>31932045.326543536</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1.785150156470974E-5</v>
      </c>
      <c r="L379" s="550">
        <f t="shared" si="19"/>
        <v>1.785150156470974E-5</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1.5918772869430395</v>
      </c>
      <c r="L380" s="550">
        <f t="shared" si="19"/>
        <v>1.5918772869430395</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0.99542489218720276</v>
      </c>
      <c r="L381" s="550">
        <f t="shared" si="19"/>
        <v>0.99542489218720276</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2.5873200306318069</v>
      </c>
      <c r="L382" s="550">
        <f t="shared" si="19"/>
        <v>2.5873200306318069</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2.3146552763531668E-4</v>
      </c>
      <c r="L383" s="550">
        <f t="shared" si="19"/>
        <v>2.3146552763531668E-4</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1.0030148799940002</v>
      </c>
      <c r="L384" s="550">
        <f t="shared" si="19"/>
        <v>1.0030148799940002</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4.6271731182553885E-13</v>
      </c>
      <c r="L385" s="550">
        <f t="shared" si="19"/>
        <v>4.6271731182553885E-13</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9.9960916215246949E-3</v>
      </c>
      <c r="L386" s="550">
        <f t="shared" si="19"/>
        <v>9.9960916215246949E-3</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218.04941191043787</v>
      </c>
      <c r="L387" s="550">
        <f t="shared" si="19"/>
        <v>218.04941191043787</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9.8061658807157254E-2</v>
      </c>
      <c r="L388" s="550">
        <f t="shared" si="19"/>
        <v>9.8061658807157254E-2</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31932045.390280396</v>
      </c>
      <c r="L389" s="550">
        <f t="shared" si="19"/>
        <v>31932045.390280396</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1.7851501546160569E-5</v>
      </c>
      <c r="L390" s="550">
        <f t="shared" si="19"/>
        <v>1.7851501546160569E-5</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1.5918772921900914</v>
      </c>
      <c r="L391" s="550">
        <f t="shared" si="19"/>
        <v>1.5918772921900914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0.99542489221915342</v>
      </c>
      <c r="L392" s="550">
        <f t="shared" si="19"/>
        <v>0.99542489221915342</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2.5873200359107908</v>
      </c>
      <c r="L393" s="550">
        <f t="shared" si="19"/>
        <v>2.5873200359107908</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1.4470187970254474E-5</v>
      </c>
      <c r="L395" s="706">
        <f t="shared" si="19"/>
        <v>1.4470187970254474E-5</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0.11068533509591852</v>
      </c>
      <c r="L396" s="550">
        <f t="shared" si="19"/>
        <v>0.11068533509591852</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5.216222073480953</v>
      </c>
      <c r="L398" s="550">
        <f t="shared" si="19"/>
        <v>5.216222073480953</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9.9353272227143929E-6</v>
      </c>
      <c r="L400" s="550">
        <f t="shared" si="19"/>
        <v>9.9353272227143929E-6</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1.6285714285714285E-2</v>
      </c>
      <c r="L401" s="550">
        <f t="shared" si="19"/>
        <v>1.6285714285714285E-2</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0.99270239928043913</v>
      </c>
      <c r="L405" s="550">
        <f t="shared" si="20"/>
        <v>0.99270239928043913</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3.2155973267232161E-5</v>
      </c>
      <c r="L406" s="550">
        <f t="shared" si="20"/>
        <v>3.2155973267232161E-5</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0.11068533509591852</v>
      </c>
      <c r="L407" s="550">
        <f t="shared" si="20"/>
        <v>0.11068533509591852</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5.216222073480953</v>
      </c>
      <c r="L409" s="550">
        <f t="shared" si="20"/>
        <v>5.216222073480953</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9.9353272227143929E-6</v>
      </c>
      <c r="L411" s="550">
        <f t="shared" si="20"/>
        <v>9.9353272227143929E-6</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1.6285714285714285E-2</v>
      </c>
      <c r="L412" s="550">
        <f t="shared" si="20"/>
        <v>1.6285714285714285E-2</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0.99270239928043913</v>
      </c>
      <c r="L416" s="550">
        <f t="shared" si="20"/>
        <v>0.99270239928043913</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5.3593288778720256E-6</v>
      </c>
      <c r="L417" s="550">
        <f t="shared" si="20"/>
        <v>5.3593288778720256E-6</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0.11068533509591852</v>
      </c>
      <c r="L418" s="550">
        <f t="shared" si="20"/>
        <v>0.11068533509591852</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5.216222073480953</v>
      </c>
      <c r="L420" s="550">
        <f t="shared" si="20"/>
        <v>5.216222073480953</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9.9353272227143929E-6</v>
      </c>
      <c r="L422" s="550">
        <f t="shared" si="20"/>
        <v>9.9353272227143929E-6</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1.6285714285714285E-2</v>
      </c>
      <c r="L423" s="550">
        <f t="shared" si="20"/>
        <v>1.6285714285714285E-2</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0.99270239928043913</v>
      </c>
      <c r="L427" s="550">
        <f t="shared" si="20"/>
        <v>0.99270239928043913</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1.4470188062228668E-5</v>
      </c>
      <c r="L428" s="550">
        <f t="shared" si="20"/>
        <v>1.4470188062228668E-5</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0.11068533579944734</v>
      </c>
      <c r="L429" s="550">
        <f t="shared" si="20"/>
        <v>0.11068533579944734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5.2162220730734985</v>
      </c>
      <c r="L430" s="550">
        <f t="shared" si="20"/>
        <v>5.2162220730734985</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9.9353272094936723E-6</v>
      </c>
      <c r="L431" s="550">
        <f t="shared" si="20"/>
        <v>9.9353272094936723E-6</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1.628571431373721E-2</v>
      </c>
      <c r="L432" s="550">
        <f t="shared" si="20"/>
        <v>1.628571431373721E-2</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0.99270239933124527</v>
      </c>
      <c r="L433" s="550">
        <f t="shared" si="20"/>
        <v>0.99270239933124527</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3.2155973471619259E-5</v>
      </c>
      <c r="L434" s="550">
        <f t="shared" ref="L434:L465" si="21">IF(ISBLANK(I434),IF(ISNUMBER(J434)=FALSE,K434,J434),I434)</f>
        <v>3.2155973471619259E-5</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0.11068533579944734</v>
      </c>
      <c r="L435" s="550">
        <f t="shared" si="21"/>
        <v>0.11068533579944734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5.2162220730734985</v>
      </c>
      <c r="L436" s="550">
        <f t="shared" si="21"/>
        <v>5.2162220730734985</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9.9353272094936723E-6</v>
      </c>
      <c r="L437" s="550">
        <f t="shared" si="21"/>
        <v>9.9353272094936723E-6</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1.628571431373721E-2</v>
      </c>
      <c r="L438" s="550">
        <f t="shared" si="21"/>
        <v>1.628571431373721E-2</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0.99270239933124527</v>
      </c>
      <c r="L439" s="550">
        <f t="shared" si="21"/>
        <v>0.99270239933124527</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5.3593289119365415E-6</v>
      </c>
      <c r="L440" s="550">
        <f t="shared" si="21"/>
        <v>5.3593289119365415E-6</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0.11068533579944734</v>
      </c>
      <c r="L441" s="550">
        <f t="shared" si="21"/>
        <v>0.11068533579944734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5.2162220730734985</v>
      </c>
      <c r="L442" s="550">
        <f t="shared" si="21"/>
        <v>5.2162220730734985</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9.9353272094936723E-6</v>
      </c>
      <c r="L443" s="550">
        <f t="shared" si="21"/>
        <v>9.9353272094936723E-6</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1.628571431373721E-2</v>
      </c>
      <c r="L444" s="550">
        <f t="shared" si="21"/>
        <v>1.628571431373721E-2</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0.99270239933124527</v>
      </c>
      <c r="L445" s="550">
        <f t="shared" si="21"/>
        <v>0.99270239933124527</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1.3394179385587654E-7</v>
      </c>
      <c r="L449" s="550">
        <f t="shared" si="21"/>
        <v>1.3394179385587654E-7</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0.11065111079484788</v>
      </c>
      <c r="L450" s="550">
        <f t="shared" si="21"/>
        <v>0.11065111079484788</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5.431570579919752</v>
      </c>
      <c r="L452" s="550">
        <f t="shared" si="21"/>
        <v>5.431570579919752</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1.7696469481487479E-4</v>
      </c>
      <c r="L454" s="550">
        <f t="shared" si="21"/>
        <v>1.7696469481487479E-4</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0.9688167761201304</v>
      </c>
      <c r="L455" s="550">
        <f t="shared" si="21"/>
        <v>0.9688167761201304</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1.4733597324146419E-6</v>
      </c>
      <c r="L456" s="550">
        <f t="shared" si="21"/>
        <v>1.4733597324146419E-6</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0.11065111079484788</v>
      </c>
      <c r="L457" s="550">
        <f t="shared" si="21"/>
        <v>0.11065111079484788</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5.4253721177386923E-5</v>
      </c>
      <c r="L459" s="550">
        <f t="shared" si="21"/>
        <v>5.4253721177386923E-5</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0.10518256400733346</v>
      </c>
      <c r="L460" s="550">
        <f t="shared" si="21"/>
        <v>0.10518256400733346</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1.339417947076417E-7</v>
      </c>
      <c r="L462" s="550">
        <f t="shared" si="21"/>
        <v>1.339417947076417E-7</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0.11065111149850249</v>
      </c>
      <c r="L463" s="550">
        <f t="shared" si="21"/>
        <v>0.11065111149850249</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5.4315705787163981</v>
      </c>
      <c r="L464" s="550">
        <f t="shared" si="21"/>
        <v>5.4315705787163981</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1.7696469463826262E-4</v>
      </c>
      <c r="L465" s="550">
        <f t="shared" si="21"/>
        <v>1.7696469463826262E-4</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0.96881677633498575</v>
      </c>
      <c r="L466" s="550">
        <f t="shared" ref="L466:L497" si="22">IF(ISBLANK(I466),IF(ISNUMBER(J466)=FALSE,K466,J466),I466)</f>
        <v>0.96881677633498575</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1.4733597417840585E-6</v>
      </c>
      <c r="L467" s="550">
        <f t="shared" si="22"/>
        <v>1.4733597417840585E-6</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0.11065111149850249</v>
      </c>
      <c r="L468" s="550">
        <f t="shared" si="22"/>
        <v>0.11065111149850249</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5.4253721540268774E-5</v>
      </c>
      <c r="L469" s="550">
        <f t="shared" si="22"/>
        <v>5.4253721540268774E-5</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0.10518256471085836</v>
      </c>
      <c r="L470" s="550">
        <f t="shared" si="22"/>
        <v>0.10518256471085836</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4.1065369261477055E-6</v>
      </c>
      <c r="L492" s="706">
        <f t="shared" si="22"/>
        <v>4.1065369261477055E-6</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1.3688456420492352E-4</v>
      </c>
      <c r="L493" s="550">
        <f t="shared" si="22"/>
        <v>1.3688456420492352E-4</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2.0532684630738527E-6</v>
      </c>
      <c r="L494" s="550">
        <f t="shared" si="22"/>
        <v>2.0532684630738527E-6</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4.1065395734768794E-6</v>
      </c>
      <c r="L495" s="550">
        <f t="shared" si="22"/>
        <v>4.1065395734768794E-6</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1.3688465244922931E-4</v>
      </c>
      <c r="L496" s="550">
        <f t="shared" si="22"/>
        <v>1.3688465244922931E-4</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2.0532697867384397E-6</v>
      </c>
      <c r="L497" s="550">
        <f t="shared" si="22"/>
        <v>2.0532697867384397E-6</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4.1394464800213001E-6</v>
      </c>
      <c r="L498" s="550">
        <f t="shared" ref="L498:L527" si="23">IF(ISBLANK(I498),IF(ISNUMBER(J498)=FALSE,K498,J498),I498)</f>
        <v>4.1394464800213001E-6</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1.3798154933404331E-4</v>
      </c>
      <c r="L499" s="550">
        <f t="shared" si="23"/>
        <v>1.3798154933404331E-4</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2.0697232400106496E-6</v>
      </c>
      <c r="L500" s="550">
        <f t="shared" si="23"/>
        <v>2.0697232400106496E-6</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2.7100000000000001E-8</v>
      </c>
      <c r="L533" s="298">
        <f t="shared" si="25"/>
        <v>2.7100000000000001E-8</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2.7100000000000001E-8</v>
      </c>
      <c r="L534" s="298">
        <f t="shared" si="25"/>
        <v>2.7100000000000001E-8</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2.7100000000000001E-8</v>
      </c>
      <c r="L535" s="298">
        <f t="shared" si="25"/>
        <v>2.7100000000000001E-8</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2.7100000000000001E-8</v>
      </c>
      <c r="L536" s="298">
        <f t="shared" si="25"/>
        <v>2.7100000000000001E-8</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2.7100000000000001E-8</v>
      </c>
      <c r="L537" s="298">
        <f t="shared" si="25"/>
        <v>2.7100000000000001E-8</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2.7100000000000001E-8</v>
      </c>
      <c r="L538" s="298">
        <f t="shared" si="25"/>
        <v>2.7100000000000001E-8</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2.7100000000000001E-8</v>
      </c>
      <c r="L539" s="298">
        <f t="shared" si="25"/>
        <v>2.7100000000000001E-8</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2.7100000000000001E-8</v>
      </c>
      <c r="L540" s="298">
        <f t="shared" si="25"/>
        <v>2.7100000000000001E-8</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2.7100000000000001E-8</v>
      </c>
      <c r="L541" s="298">
        <f t="shared" si="25"/>
        <v>2.7100000000000001E-8</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2.9904228395153563E-8</v>
      </c>
      <c r="L542" s="298">
        <f t="shared" si="25"/>
        <v>2.9904228395153563E-8</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2.9904228395153563E-8</v>
      </c>
      <c r="L543" s="298">
        <f t="shared" si="25"/>
        <v>2.9904228395153563E-8</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2.9904228395153563E-8</v>
      </c>
      <c r="L544" s="298">
        <f t="shared" si="25"/>
        <v>2.9904228395153563E-8</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2.9904228395153563E-8</v>
      </c>
      <c r="L545" s="298">
        <f t="shared" si="25"/>
        <v>2.9904228395153563E-8</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2.9904228395153563E-8</v>
      </c>
      <c r="L546" s="298">
        <f t="shared" si="25"/>
        <v>2.9904228395153563E-8</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2.9904228395153563E-8</v>
      </c>
      <c r="L547" s="298">
        <f t="shared" si="25"/>
        <v>2.9904228395153563E-8</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2.7943333333333333E-8</v>
      </c>
      <c r="L548" s="298">
        <f t="shared" si="25"/>
        <v>2.7943333333333333E-8</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2.7943333333333333E-8</v>
      </c>
      <c r="L549" s="298">
        <f t="shared" si="25"/>
        <v>2.7943333333333333E-8</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2.7943333333333333E-8</v>
      </c>
      <c r="L550" s="298">
        <f t="shared" si="25"/>
        <v>2.7943333333333333E-8</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2.7980272442497116E-8</v>
      </c>
      <c r="L551" s="298">
        <f t="shared" si="25"/>
        <v>2.7980272442497116E-8</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2.7980272442497116E-8</v>
      </c>
      <c r="L552" s="298">
        <f t="shared" si="25"/>
        <v>2.7980272442497116E-8</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2.7030000000000001E-8</v>
      </c>
      <c r="L553" s="298">
        <f t="shared" si="25"/>
        <v>2.7030000000000001E-8</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2.7462425498339054E-8</v>
      </c>
      <c r="L554" s="298">
        <f t="shared" si="25"/>
        <v>2.7462425498339054E-8</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2.7462425498339054E-8</v>
      </c>
      <c r="L555" s="298">
        <f t="shared" si="25"/>
        <v>2.7462425498339054E-8</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2.7030000000000001E-8</v>
      </c>
      <c r="L556" s="298">
        <f t="shared" si="25"/>
        <v>2.7030000000000001E-8</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2.7980272442497116E-8</v>
      </c>
      <c r="L557" s="298">
        <f t="shared" si="25"/>
        <v>2.7980272442497116E-8</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2.7980272442497116E-8</v>
      </c>
      <c r="L558" s="298">
        <f t="shared" si="25"/>
        <v>2.7980272442497116E-8</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2.7030000000000001E-8</v>
      </c>
      <c r="L559" s="298">
        <f t="shared" si="25"/>
        <v>2.7030000000000001E-8</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E144" transitionEvaluation="1" transitionEntry="1" codeName="Sheet4"/>
  <dimension ref="A1:U972"/>
  <sheetViews>
    <sheetView tabSelected="1" topLeftCell="E144" zoomScaleNormal="100" workbookViewId="0">
      <selection activeCell="K161" sqref="K161"/>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3.953723136028429E-6</v>
      </c>
      <c r="L78" s="298">
        <f t="shared" ref="L78:L85" si="5">IF(ISBLANK(I78),IF(ISNUMBER(J78)=FALSE,K78,J78),I78)</f>
        <v>3.953723136028429E-6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3.9537231360255804E-6</v>
      </c>
      <c r="L79" s="298">
        <f t="shared" si="5"/>
        <v>3.9537231360255804E-6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2.3618220058513862E-25</v>
      </c>
      <c r="L80" s="298">
        <f t="shared" si="5"/>
        <v>2.3618220058513862E-25</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4.6794575955110109E-24</v>
      </c>
      <c r="L81" s="298">
        <f t="shared" si="5"/>
        <v>4.6794575955110109E-24</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7.9074462720494075E-6</v>
      </c>
      <c r="L82" s="298">
        <f t="shared" si="5"/>
        <v>7.9074462720494075E-6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9.0720170648512128E-6</v>
      </c>
      <c r="L83" s="298">
        <f t="shared" si="5"/>
        <v>9.0720170648512128E-6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2.1645707928001322E-6</v>
      </c>
      <c r="L84" s="298">
        <f t="shared" si="5"/>
        <v>2.1645707928001322E-6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1.7527781262359391E-15</v>
      </c>
      <c r="L95" s="298">
        <f t="shared" si="6"/>
        <v>1.7527781262359391E-15</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2.3397287977555055E-25</v>
      </c>
      <c r="L97" s="298">
        <f t="shared" si="6"/>
        <v>2.3397287977555055E-25</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2.6741789373454676E-10</v>
      </c>
      <c r="L102" s="298">
        <f t="shared" si="6"/>
        <v>2.6741789373454676E-10</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3.6632588710578216E-10</v>
      </c>
      <c r="L125" s="298">
        <f t="shared" ref="L125:L142" si="8">IF(ISBLANK(I125),IF(ISNUMBER(J125)=FALSE,K125,J125),I125)</f>
        <v>3.6632588710578216E-10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5.3445098276150513E-8</v>
      </c>
      <c r="L126" s="298">
        <f t="shared" si="8"/>
        <v>5.3445098276150513E-8</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5.3445098276150513E-8</v>
      </c>
      <c r="L127" s="298">
        <f t="shared" si="8"/>
        <v>5.3445098276150513E-8</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2.7040182804920299E-10</v>
      </c>
      <c r="L128" s="298">
        <f t="shared" si="8"/>
        <v>2.7040182804920299E-10</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2.7056449122625908E-9</v>
      </c>
      <c r="L129" s="298">
        <f t="shared" si="8"/>
        <v>2.7056449122625908E-9</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5.2776358660991025E-18</v>
      </c>
      <c r="L131" s="298">
        <f t="shared" si="8"/>
        <v>5.2776358660991025E-18</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5.3445098276150513E-8</v>
      </c>
      <c r="L134" s="298">
        <f t="shared" si="8"/>
        <v>5.3445098276150513E-8</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5.3445098276150513E-8</v>
      </c>
      <c r="L135" s="298">
        <f t="shared" si="8"/>
        <v>5.3445098276150513E-8</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2.6741789373454681E-10</v>
      </c>
      <c r="L139" s="298">
        <f t="shared" si="8"/>
        <v>2.6741789373454681E-10</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2.6741789373454676E-9</v>
      </c>
      <c r="L140" s="298">
        <f t="shared" si="8"/>
        <v>2.6741789373454676E-9</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1.4018312200551766E-2</v>
      </c>
      <c r="L147" s="298">
        <f t="shared" ref="L147:L162" si="9">IF(ISBLANK(I147),IF(ISNUMBER(J147)=FALSE,K147,J147),I147)</f>
        <v>1.4018312200551766E-2</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1.3552896984292373E-2</v>
      </c>
      <c r="L148" s="298">
        <f t="shared" si="9"/>
        <v>1.3552896984292373E-2</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0.99841113577498564</v>
      </c>
      <c r="L152" s="298">
        <f t="shared" si="9"/>
        <v>0.99841113577498564</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4.6541521625939185E-4</v>
      </c>
      <c r="L153" s="298">
        <f t="shared" si="9"/>
        <v>4.6541521625939185E-4</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0.99896087668516698</v>
      </c>
      <c r="L157" s="298">
        <f t="shared" si="9"/>
        <v>0.99896087668516698</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1.3987750287120771E-9</v>
      </c>
      <c r="L158" s="298">
        <f t="shared" si="9"/>
        <v>1.3987750287120771E-9</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(kboltz*L52*(1+(66*10^-9/RadCP.a)*(1.142+0.558*EXP(-0.999/(66*10^-9/RadCP.a))))/(6*PI()*DYNVISC.a*RadCP.a))</f>
        <v>1.3887806825099405E-11</v>
      </c>
      <c r="L161" s="298">
        <f t="shared" si="9"/>
        <v>1.3887806825099405E-11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0.99827276830545097</v>
      </c>
      <c r="L162" s="298">
        <f t="shared" si="9"/>
        <v>0.99827276830545097</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0.36374737084221381</v>
      </c>
      <c r="L164" s="298">
        <f t="shared" ref="L164:L185" si="10">IF(ISBLANK(I164),IF(ISNUMBER(J164)=FALSE,K164,J164),I164)</f>
        <v>0.36374737084221381</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1.0284714612004512E-12</v>
      </c>
      <c r="L166" s="298">
        <f t="shared" si="10"/>
        <v>1.0284714612004512E-12</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2.1210587833333338E-13</v>
      </c>
      <c r="L167" s="298">
        <f t="shared" si="10"/>
        <v>2.1210587833333338E-13</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0.36374737084221381</v>
      </c>
      <c r="L169" s="298">
        <f t="shared" si="10"/>
        <v>0.36374737084221381</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1.0284714612004512E-12</v>
      </c>
      <c r="L171" s="298">
        <f t="shared" si="10"/>
        <v>1.0284714612004512E-12</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2.1210587833333338E-13</v>
      </c>
      <c r="L172" s="298">
        <f t="shared" si="10"/>
        <v>2.1210587833333338E-13</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4.415844891912707E-16</v>
      </c>
      <c r="L174" s="551">
        <f t="shared" si="10"/>
        <v>4.415844891912707E-16</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8.1592399837792659E-13</v>
      </c>
      <c r="L175" s="298">
        <f t="shared" si="10"/>
        <v>8.1592399837792659E-13</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2.1781701062661258E-4</v>
      </c>
      <c r="L176" s="298">
        <f t="shared" si="10"/>
        <v>2.1781701062661258E-4</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1.2317261767406209E-12</v>
      </c>
      <c r="L178" s="298">
        <f t="shared" si="10"/>
        <v>1.2317261767406209E-12</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2.9269333333333338E-13</v>
      </c>
      <c r="L179" s="298">
        <f t="shared" si="10"/>
        <v>2.9269333333333338E-13</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2.1781701062661258E-4</v>
      </c>
      <c r="L180" s="298">
        <f t="shared" si="10"/>
        <v>2.1781701062661258E-4</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1.2317261767406209E-12</v>
      </c>
      <c r="L182" s="298">
        <f t="shared" si="10"/>
        <v>1.2317261767406209E-12</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2.9269333333333338E-13</v>
      </c>
      <c r="L183" s="298">
        <f t="shared" si="10"/>
        <v>2.9269333333333338E-13</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2.7366792448170331E-17</v>
      </c>
      <c r="L184" s="298">
        <f t="shared" si="10"/>
        <v>2.7366792448170331E-17</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9.3900547661483939E-13</v>
      </c>
      <c r="L185" s="298">
        <f t="shared" si="10"/>
        <v>9.3900547661483939E-13</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0.57746052392621372</v>
      </c>
      <c r="L187" s="298">
        <f t="shared" ref="L187:L204" si="11">IF(ISBLANK(I187),IF(ISNUMBER(J187)=FALSE,K187,J187),I187)</f>
        <v>0.57746052392621372</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4.415844891912707E-16</v>
      </c>
      <c r="L189" s="551">
        <f t="shared" si="11"/>
        <v>4.415844891912707E-16</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8.1592399837792659E-13</v>
      </c>
      <c r="L190" s="298">
        <f t="shared" si="11"/>
        <v>8.1592399837792659E-13</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2.8776119406398494E-3</v>
      </c>
      <c r="L191" s="298">
        <f t="shared" si="11"/>
        <v>2.8776119406398494E-3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21.827219460853382</v>
      </c>
      <c r="L194" s="298">
        <f t="shared" si="11"/>
        <v>21.827219460853382</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5.8211434614814531E-4</v>
      </c>
      <c r="L195" s="298">
        <f t="shared" si="11"/>
        <v>5.8211434614814531E-4</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8.3955486663057945E-3</v>
      </c>
      <c r="L199" s="298">
        <f t="shared" si="11"/>
        <v>8.3955486663057945E-3</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21.818241797840926</v>
      </c>
      <c r="L200" s="298">
        <f t="shared" si="11"/>
        <v>21.818241797840926</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0.50827870633350947</v>
      </c>
      <c r="L201" s="298">
        <f t="shared" si="11"/>
        <v>0.50827870633350947</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0.19531250000000003</v>
      </c>
      <c r="L202" s="298">
        <f t="shared" si="11"/>
        <v>0.19531250000000003</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276479.69917128154</v>
      </c>
      <c r="L203" s="298">
        <f t="shared" si="11"/>
        <v>276479.69917128154</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45.628188068307836</v>
      </c>
      <c r="L204" s="298">
        <f t="shared" si="11"/>
        <v>45.628188068307836</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28.87302619631069</v>
      </c>
      <c r="L206" s="298">
        <f>IF(ISBLANK(I206),IF(ISNUMBER(J206)=FALSE,K206,J206),I206)</f>
        <v>28.87302619631069</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4.415844891912707E-16</v>
      </c>
      <c r="L209" s="298">
        <f t="shared" ref="L209:L224" si="12">IF(ISBLANK(I209),IF(ISNUMBER(J209)=FALSE,K209,J209),I209)</f>
        <v>4.415844891912707E-16</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8.1592399837792659E-13</v>
      </c>
      <c r="L210" s="298">
        <f t="shared" si="12"/>
        <v>8.1592399837792659E-13</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1.7266114823914148E-2</v>
      </c>
      <c r="L211" s="298">
        <f t="shared" si="12"/>
        <v>1.7266114823914148E-2</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21.827779728009972</v>
      </c>
      <c r="L214" s="298">
        <f t="shared" si="12"/>
        <v>21.827779728009972</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1.1423815027391908E-3</v>
      </c>
      <c r="L215" s="298">
        <f t="shared" si="12"/>
        <v>1.1423815027391908E-3</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8.3955486663057945E-3</v>
      </c>
      <c r="L219" s="298">
        <f t="shared" si="12"/>
        <v>8.3955486663057945E-3</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21.818241797840926</v>
      </c>
      <c r="L220" s="298">
        <f t="shared" si="12"/>
        <v>21.818241797840926</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0.19531250000000003</v>
      </c>
      <c r="L221" s="298">
        <f t="shared" si="12"/>
        <v>0.19531250000000003</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276479.69917128154</v>
      </c>
      <c r="L222" s="298">
        <f t="shared" si="12"/>
        <v>276479.69917128154</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0.50827870633350947</v>
      </c>
      <c r="L223" s="298">
        <f t="shared" si="12"/>
        <v>0.50827870633350947</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45.628188068307836</v>
      </c>
      <c r="L224" s="298">
        <f t="shared" si="12"/>
        <v>45.628188068307836</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2.5000000049750844E-5</v>
      </c>
      <c r="L236" s="298">
        <f>IF(ISBLANK(I236),IF(ISNUMBER(J236)=FALSE,K236,J236),I236)</f>
        <v>2.5000000049750844E-5</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1300.0000041555656</v>
      </c>
      <c r="L237" s="298">
        <f>IF(ISBLANK(I237),IF(ISNUMBER(J237)=FALSE,K237,J237),I237)</f>
        <v>1300.0000041555656</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6.5449847340529238E-14</v>
      </c>
      <c r="L238" s="298">
        <f>IF(ISBLANK(I238),IF(ISNUMBER(J238)=FALSE,K238,J238),I238)</f>
        <v>6.5449847340529238E-14</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8.5084801814669148E-11</v>
      </c>
      <c r="L239" s="298">
        <f>IF(ISBLANK(I239),IF(ISNUMBER(J239)=FALSE,K239,J239),I239)</f>
        <v>8.5084801814669148E-11</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2.3146552716305082E-4</v>
      </c>
      <c r="L241" s="298">
        <f t="shared" ref="L241:L272" si="14">IF(ISBLANK(I241),IF(ISNUMBER(J241)=FALSE,K241,J241),I241)</f>
        <v>2.3146552716305082E-4</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9.9960915498158373E-3</v>
      </c>
      <c r="L242" s="298">
        <f t="shared" si="14"/>
        <v>9.9960915498158373E-3</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218.04941038400725</v>
      </c>
      <c r="L243" s="298">
        <f t="shared" si="14"/>
        <v>218.04941038400725</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9.8061658103693369E-2</v>
      </c>
      <c r="L244" s="298">
        <f t="shared" si="14"/>
        <v>9.8061658103693369E-2</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31932045.326543536</v>
      </c>
      <c r="L245" s="298">
        <f t="shared" si="14"/>
        <v>31932045.326543536</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1.785150156470974E-5</v>
      </c>
      <c r="L246" s="298">
        <f t="shared" si="14"/>
        <v>1.785150156470974E-5</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1.5918772869430395</v>
      </c>
      <c r="L247" s="298">
        <f t="shared" si="14"/>
        <v>1.5918772869430395</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0.99542489218720276</v>
      </c>
      <c r="L248" s="298">
        <f t="shared" si="14"/>
        <v>0.99542489218720276</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2.5873200306318069</v>
      </c>
      <c r="L249" s="298">
        <f t="shared" si="14"/>
        <v>2.5873200306318069</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2.3146552763531668E-4</v>
      </c>
      <c r="L250" s="298">
        <f t="shared" si="14"/>
        <v>2.3146552763531668E-4</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1.0030148799940002</v>
      </c>
      <c r="L251" s="298">
        <f t="shared" si="14"/>
        <v>1.0030148799940002</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4.6271731182553885E-13</v>
      </c>
      <c r="L252" s="298">
        <f t="shared" si="14"/>
        <v>4.6271731182553885E-13</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9.9960916215246949E-3</v>
      </c>
      <c r="L253" s="298">
        <f t="shared" si="14"/>
        <v>9.9960916215246949E-3</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218.04941191043787</v>
      </c>
      <c r="L254" s="298">
        <f t="shared" si="14"/>
        <v>218.04941191043787</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9.8061658807157254E-2</v>
      </c>
      <c r="L255" s="298">
        <f t="shared" si="14"/>
        <v>9.8061658807157254E-2</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31932045.390280396</v>
      </c>
      <c r="L256" s="298">
        <f t="shared" si="14"/>
        <v>31932045.390280396</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1.7851501546160569E-5</v>
      </c>
      <c r="L257" s="298">
        <f t="shared" si="14"/>
        <v>1.7851501546160569E-5</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1.5918772921900914</v>
      </c>
      <c r="L258" s="298">
        <f t="shared" si="14"/>
        <v>1.5918772921900914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0.99542489221915342</v>
      </c>
      <c r="L259" s="298">
        <f t="shared" si="14"/>
        <v>0.99542489221915342</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2.5873200359107908</v>
      </c>
      <c r="L260" s="298">
        <f t="shared" si="14"/>
        <v>2.5873200359107908</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5.5342684150764503E-5</v>
      </c>
      <c r="L262" s="298">
        <f t="shared" si="14"/>
        <v>5.5342684150764503E-5</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0.11068533509591852</v>
      </c>
      <c r="L263" s="298">
        <f t="shared" si="14"/>
        <v>0.11068533509591852</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5.216222073480953</v>
      </c>
      <c r="L265" s="298">
        <f t="shared" si="14"/>
        <v>5.216222073480953</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9.9353272227143929E-6</v>
      </c>
      <c r="L267" s="298">
        <f t="shared" si="14"/>
        <v>9.9353272227143929E-6</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1.6285714285714285E-2</v>
      </c>
      <c r="L268" s="298">
        <f t="shared" si="14"/>
        <v>1.6285714285714285E-2</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0.99270239928043913</v>
      </c>
      <c r="L272" s="298">
        <f t="shared" si="14"/>
        <v>0.99270239928043913</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5.5342684502529019E-5</v>
      </c>
      <c r="L273" s="298">
        <f t="shared" ref="L273:L304" si="15">IF(ISBLANK(I273),IF(ISNUMBER(J273)=FALSE,K273,J273),I273)</f>
        <v>5.5342684502529019E-5</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0.11068533579944734</v>
      </c>
      <c r="L274" s="298">
        <f t="shared" si="15"/>
        <v>0.11068533579944734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5.2162220730734985</v>
      </c>
      <c r="L275" s="298">
        <f t="shared" si="15"/>
        <v>5.2162220730734985</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9.9353272094936723E-6</v>
      </c>
      <c r="L276" s="298">
        <f t="shared" si="15"/>
        <v>9.9353272094936723E-6</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1.628571431373721E-2</v>
      </c>
      <c r="L277" s="298">
        <f t="shared" si="15"/>
        <v>1.628571431373721E-2</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0.99270239933124527</v>
      </c>
      <c r="L278" s="298">
        <f t="shared" si="15"/>
        <v>0.99270239933124527</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5.2591297781056065E-5</v>
      </c>
      <c r="L280" s="298">
        <f t="shared" si="15"/>
        <v>5.2591297781056065E-5</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0.10518256400733346</v>
      </c>
      <c r="L281" s="298">
        <f t="shared" si="15"/>
        <v>0.10518256400733346</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5.431570579919752</v>
      </c>
      <c r="L283" s="298">
        <f t="shared" si="15"/>
        <v>5.431570579919752</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1.7696469481487479E-4</v>
      </c>
      <c r="L285" s="298">
        <f t="shared" si="15"/>
        <v>1.7696469481487479E-4</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0.9688167761201304</v>
      </c>
      <c r="L286" s="298">
        <f t="shared" si="15"/>
        <v>0.9688167761201304</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5.2591298132818622E-5</v>
      </c>
      <c r="L287" s="298">
        <f t="shared" si="15"/>
        <v>5.2591298132818622E-5</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0.10518256471085836</v>
      </c>
      <c r="L288" s="298">
        <f t="shared" si="15"/>
        <v>0.10518256471085836</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5.4315705787163981</v>
      </c>
      <c r="L289" s="298">
        <f t="shared" si="15"/>
        <v>5.4315705787163981</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1.7696469463826262E-4</v>
      </c>
      <c r="L290" s="298">
        <f t="shared" si="15"/>
        <v>1.7696469463826262E-4</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0.96881677633498575</v>
      </c>
      <c r="L291" s="298">
        <f t="shared" si="15"/>
        <v>0.96881677633498575</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4.355648793662825E-6</v>
      </c>
      <c r="L299" s="298">
        <f t="shared" si="15"/>
        <v>4.355648793662825E-6</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4.3556514409919989E-6</v>
      </c>
      <c r="L300" s="298">
        <f t="shared" si="15"/>
        <v>4.3556514409919989E-6</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4.3885583475364188E-6</v>
      </c>
      <c r="L301" s="298">
        <f t="shared" si="15"/>
        <v>4.3885583475364188E-6</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1.3688456420492351E-7</v>
      </c>
      <c r="L302" s="298">
        <f t="shared" si="15"/>
        <v>1.3688456420492351E-7</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1.368846524492293E-7</v>
      </c>
      <c r="L303" s="298">
        <f t="shared" si="15"/>
        <v>1.368846524492293E-7</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1.379815493340433E-7</v>
      </c>
      <c r="L304" s="298">
        <f t="shared" si="15"/>
        <v>1.379815493340433E-7</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2.7100000000000001E-8</v>
      </c>
      <c r="L315" s="298">
        <f t="shared" si="17"/>
        <v>2.7100000000000001E-8</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2.7100000000000001E-8</v>
      </c>
      <c r="L316" s="298">
        <f t="shared" si="17"/>
        <v>2.7100000000000001E-8</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2.7100000000000001E-8</v>
      </c>
      <c r="L317" s="298">
        <f t="shared" si="17"/>
        <v>2.7100000000000001E-8</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2.7100000000000001E-8</v>
      </c>
      <c r="L318" s="298">
        <f t="shared" si="17"/>
        <v>2.7100000000000001E-8</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2.7100000000000001E-8</v>
      </c>
      <c r="L319" s="298">
        <f t="shared" si="17"/>
        <v>2.7100000000000001E-8</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2.7100000000000001E-8</v>
      </c>
      <c r="L320" s="298">
        <f t="shared" si="17"/>
        <v>2.7100000000000001E-8</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2.7032983934314656E-8</v>
      </c>
      <c r="L321" s="298">
        <f t="shared" si="17"/>
        <v>2.7032983934314656E-8</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2.7032983934314656E-8</v>
      </c>
      <c r="L322" s="298">
        <f t="shared" si="17"/>
        <v>2.7032983934314656E-8</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2.7032983934314656E-8</v>
      </c>
      <c r="L323" s="298">
        <f t="shared" si="17"/>
        <v>2.7032983934314656E-8</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2.7980272442497116E-8</v>
      </c>
      <c r="L324" s="298">
        <f t="shared" si="17"/>
        <v>2.7980272442497116E-8</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2.7980272442497116E-8</v>
      </c>
      <c r="L325" s="298">
        <f t="shared" si="17"/>
        <v>2.7980272442497116E-8</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2.7030000000000001E-8</v>
      </c>
      <c r="L326" s="298">
        <f t="shared" si="17"/>
        <v>2.7030000000000001E-8</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4.8096229924074475E-6</v>
      </c>
      <c r="L400" s="298">
        <f t="shared" ref="L400:L407" si="27">IF(ISBLANK(I400),IF(ISNUMBER(J400)=FALSE,K400,J400),I400)</f>
        <v>4.8096229924074475E-6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3.206415328269387E-6</v>
      </c>
      <c r="L401" s="298">
        <f t="shared" si="27"/>
        <v>3.206415328269387E-6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6.9725235379193055E-26</v>
      </c>
      <c r="L402" s="298">
        <f t="shared" si="27"/>
        <v>6.9725235379193055E-26</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1.3814600824516507E-24</v>
      </c>
      <c r="L403" s="298">
        <f t="shared" si="27"/>
        <v>1.3814600824516507E-24</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8.0160383206717404E-6</v>
      </c>
      <c r="L404" s="298">
        <f t="shared" si="27"/>
        <v>8.0160383206717404E-6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8.7083801729267955E-6</v>
      </c>
      <c r="L405" s="298">
        <f t="shared" si="27"/>
        <v>8.7083801729267955E-6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1.6923418522534065E-6</v>
      </c>
      <c r="L406" s="298">
        <f t="shared" si="27"/>
        <v>1.6923418522534065E-6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0.1390052627685362</v>
      </c>
      <c r="L407" s="298">
        <f t="shared" si="27"/>
        <v>0.1390052627685362</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1.7267214299075046E-15</v>
      </c>
      <c r="L417" s="298">
        <f t="shared" si="28"/>
        <v>1.7267214299075046E-15</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6.9073004122582534E-26</v>
      </c>
      <c r="L419" s="298">
        <f t="shared" si="28"/>
        <v>6.9073004122582534E-26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5.8200199506518189E-11</v>
      </c>
      <c r="L424" s="298">
        <f t="shared" si="28"/>
        <v>5.8200199506518189E-11</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3.6632588617614458E-10</v>
      </c>
      <c r="L447" s="298">
        <f t="shared" ref="L447:L464" si="30">IF(ISBLANK(I447),IF(ISNUMBER(J447)=FALSE,K447,J447),I447)</f>
        <v>3.6632588617614458E-10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1.1631665102429888E-8</v>
      </c>
      <c r="L448" s="298">
        <f t="shared" si="30"/>
        <v>1.1631665102429888E-8</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1.1631665102429888E-8</v>
      </c>
      <c r="L449" s="298">
        <f t="shared" si="30"/>
        <v>1.1631665102429888E-8</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6.031418563876915E-11</v>
      </c>
      <c r="L450" s="298">
        <f t="shared" si="30"/>
        <v>6.031418563876915E-11</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5.9323984324986868E-10</v>
      </c>
      <c r="L451" s="298">
        <f t="shared" si="30"/>
        <v>5.9323984324986868E-10</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4.3479982771282625E-18</v>
      </c>
      <c r="L453" s="298">
        <f t="shared" si="30"/>
        <v>4.3479982771282625E-18</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1.1631665102429888E-8</v>
      </c>
      <c r="L456" s="298">
        <f t="shared" si="30"/>
        <v>1.1631665102429888E-8</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1.1631665102429888E-8</v>
      </c>
      <c r="L457" s="298">
        <f t="shared" si="30"/>
        <v>1.1631665102429888E-8</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5.8200199506518201E-11</v>
      </c>
      <c r="L461" s="298">
        <f t="shared" si="30"/>
        <v>5.8200199506518201E-11</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5.8200199506518189E-10</v>
      </c>
      <c r="L462" s="298">
        <f t="shared" si="30"/>
        <v>5.8200199506518189E-10</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1.2936996863899564E-2</v>
      </c>
      <c r="L468" s="298">
        <f t="shared" ref="L468:L483" si="32">IF(ISBLANK(I468),IF(ISNUMBER(J468)=FALSE,K468,J468),I468)</f>
        <v>1.2936996863899564E-2</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1.2507490864358444E-2</v>
      </c>
      <c r="L469" s="298">
        <f t="shared" si="32"/>
        <v>1.2507490864358444E-2</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0.99847359633764898</v>
      </c>
      <c r="L473" s="298">
        <f t="shared" si="32"/>
        <v>0.99847359633764898</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4.2950599954112061E-4</v>
      </c>
      <c r="L474" s="298">
        <f t="shared" si="32"/>
        <v>4.2950599954112061E-4</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0.99900174774188177</v>
      </c>
      <c r="L478" s="298">
        <f t="shared" si="32"/>
        <v>0.99900174774188177</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1.2908872041130547E-9</v>
      </c>
      <c r="L479" s="298">
        <f t="shared" si="32"/>
        <v>1.2908872041130547E-9</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0.99834066422720735</v>
      </c>
      <c r="L483" s="298">
        <f t="shared" si="32"/>
        <v>0.99834066422720735</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0.36373531495298622</v>
      </c>
      <c r="L485" s="298">
        <f t="shared" ref="L485:L506" si="33">IF(ISBLANK(I485),IF(ISNUMBER(J485)=FALSE,K485,J485),I485)</f>
        <v>0.36373531495298622</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1.0284373739767242E-12</v>
      </c>
      <c r="L487" s="298">
        <f t="shared" si="33"/>
        <v>1.0284373739767242E-12</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2.1210587833333338E-13</v>
      </c>
      <c r="L488" s="298">
        <f t="shared" si="33"/>
        <v>2.1210587833333338E-13</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0.36373531495298622</v>
      </c>
      <c r="L490" s="298">
        <f t="shared" si="33"/>
        <v>0.36373531495298622</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1.0284373739767242E-12</v>
      </c>
      <c r="L492" s="298">
        <f t="shared" si="33"/>
        <v>1.0284373739767242E-12</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2.1210587833333338E-13</v>
      </c>
      <c r="L493" s="298">
        <f t="shared" si="33"/>
        <v>2.1210587833333338E-13</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4.0749726546422528E-16</v>
      </c>
      <c r="L495" s="551">
        <f t="shared" si="33"/>
        <v>4.0749726546422528E-16</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8.1592399837792659E-13</v>
      </c>
      <c r="L496" s="298">
        <f t="shared" si="33"/>
        <v>8.1592399837792659E-13</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2.1781663705029104E-4</v>
      </c>
      <c r="L497" s="298">
        <f t="shared" si="33"/>
        <v>2.1781663705029104E-4</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1.2317240642162918E-12</v>
      </c>
      <c r="L499" s="298">
        <f t="shared" si="33"/>
        <v>1.2317240642162918E-12</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2.9269333333333338E-13</v>
      </c>
      <c r="L500" s="298">
        <f t="shared" si="33"/>
        <v>2.9269333333333338E-13</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2.1781663705029104E-4</v>
      </c>
      <c r="L501" s="298">
        <f t="shared" si="33"/>
        <v>2.1781663705029104E-4</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1.2317240642162918E-12</v>
      </c>
      <c r="L503" s="298">
        <f t="shared" si="33"/>
        <v>1.2317240642162918E-12</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2.9269333333333338E-13</v>
      </c>
      <c r="L504" s="298">
        <f t="shared" si="33"/>
        <v>2.9269333333333338E-13</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2.5254268118837883E-17</v>
      </c>
      <c r="L505" s="298">
        <f t="shared" si="33"/>
        <v>2.5254268118837883E-17</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9.3900547661483939E-13</v>
      </c>
      <c r="L506" s="298">
        <f t="shared" si="33"/>
        <v>9.3900547661483939E-13</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0.57743641214775843</v>
      </c>
      <c r="L508" s="298">
        <f t="shared" ref="L508:L525" si="34">IF(ISBLANK(I508),IF(ISNUMBER(J508)=FALSE,K508,J508),I508)</f>
        <v>0.57743641214775843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4.0749726546422528E-16</v>
      </c>
      <c r="L510" s="551">
        <f t="shared" si="34"/>
        <v>4.0749726546422528E-16</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8.1592399837792659E-13</v>
      </c>
      <c r="L511" s="298">
        <f t="shared" si="34"/>
        <v>8.1592399837792659E-13</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2.8898812254912259E-3</v>
      </c>
      <c r="L512" s="298">
        <f t="shared" si="34"/>
        <v>2.8898812254912259E-3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21.92028425854086</v>
      </c>
      <c r="L515" s="298">
        <f t="shared" si="34"/>
        <v>21.92028425854086</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5.5196521690712319E-4</v>
      </c>
      <c r="L516" s="298">
        <f t="shared" si="34"/>
        <v>5.5196521690712319E-4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8.3955486663057945E-3</v>
      </c>
      <c r="L520" s="298">
        <f t="shared" si="34"/>
        <v>8.3955486663057945E-3</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21.911336744657646</v>
      </c>
      <c r="L521" s="298">
        <f t="shared" si="34"/>
        <v>21.911336744657646</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0.55079631674924034</v>
      </c>
      <c r="L522" s="298">
        <f t="shared" si="34"/>
        <v>0.55079631674924034</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0.19531250000000003</v>
      </c>
      <c r="L523" s="298">
        <f t="shared" si="34"/>
        <v>0.19531250000000003</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299607.27856963966</v>
      </c>
      <c r="L524" s="298">
        <f t="shared" si="34"/>
        <v>299607.27856963966</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45.628188068307836</v>
      </c>
      <c r="L525" s="298">
        <f t="shared" si="34"/>
        <v>45.628188068307836</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28.871820607387928</v>
      </c>
      <c r="L527" s="298">
        <f>IF(ISBLANK(I527),IF(ISNUMBER(J527)=FALSE,K527,J527),I527)</f>
        <v>28.871820607387928</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4.0749726546422528E-16</v>
      </c>
      <c r="L530" s="298">
        <f t="shared" ref="L530:L545" si="35">IF(ISBLANK(I530),IF(ISNUMBER(J530)=FALSE,K530,J530),I530)</f>
        <v>4.0749726546422528E-16</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8.1592399837792659E-13</v>
      </c>
      <c r="L531" s="298">
        <f t="shared" si="35"/>
        <v>8.1592399837792659E-13</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1.7339707579639711E-2</v>
      </c>
      <c r="L532" s="298">
        <f t="shared" si="35"/>
        <v>1.7339707579639711E-2</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21.920815508087721</v>
      </c>
      <c r="L535" s="298">
        <f t="shared" si="35"/>
        <v>21.920815508087721</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1.083214763770226E-3</v>
      </c>
      <c r="L536" s="298">
        <f t="shared" si="35"/>
        <v>1.083214763770226E-3</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8.3955486663057945E-3</v>
      </c>
      <c r="L540" s="298">
        <f t="shared" si="35"/>
        <v>8.3955486663057945E-3</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21.911336744657646</v>
      </c>
      <c r="L541" s="298">
        <f t="shared" si="35"/>
        <v>21.911336744657646</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0.19531250000000003</v>
      </c>
      <c r="L542" s="298">
        <f t="shared" si="35"/>
        <v>0.19531250000000003</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299607.27856963966</v>
      </c>
      <c r="L543" s="298">
        <f t="shared" si="35"/>
        <v>299607.27856963966</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0.55079631674924034</v>
      </c>
      <c r="L544" s="298">
        <f t="shared" si="35"/>
        <v>0.55079631674924034</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45.628188068307836</v>
      </c>
      <c r="L545" s="298">
        <f t="shared" si="35"/>
        <v>45.628188068307836</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2.5000000049750844E-5</v>
      </c>
      <c r="L557" s="298">
        <f>IF(ISBLANK(I557),IF(ISNUMBER(J557)=FALSE,K557,J557),I557)</f>
        <v>2.5000000049750844E-5</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1300.0000041555656</v>
      </c>
      <c r="L558" s="298">
        <f>IF(ISBLANK(I558),IF(ISNUMBER(J558)=FALSE,K558,J558),I558)</f>
        <v>1300.0000041555656</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6.5449847340529238E-14</v>
      </c>
      <c r="L559" s="298">
        <f>IF(ISBLANK(I559),IF(ISNUMBER(J559)=FALSE,K559,J559),I559)</f>
        <v>6.5449847340529238E-14</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8.5084801814669148E-11</v>
      </c>
      <c r="L560" s="298">
        <f>IF(ISBLANK(I560),IF(ISNUMBER(J560)=FALSE,K560,J560),I560)</f>
        <v>8.5084801814669148E-11</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1.1944436261820212E-4</v>
      </c>
      <c r="L562" s="298">
        <f t="shared" ref="L562:L593" si="37">IF(ISBLANK(I562),IF(ISNUMBER(J562)=FALSE,K562,J562),I562)</f>
        <v>1.1944436261820212E-4</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9.9960915498158373E-3</v>
      </c>
      <c r="L563" s="298">
        <f t="shared" si="37"/>
        <v>9.9960915498158373E-3</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165.82236718095959</v>
      </c>
      <c r="L564" s="298">
        <f t="shared" si="37"/>
        <v>165.82236718095959</v>
      </c>
      <c r="M564" s="567" t="s">
        <v>314</v>
      </c>
      <c r="N564" s="566"/>
      <c r="O564" s="604" t="s">
        <v>1672</v>
      </c>
      <c r="P564" s="566"/>
      <c r="Q564">
        <f>(L552-L565)</f>
        <v>2.3863816758165424</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9.8061658103693369E-2</v>
      </c>
      <c r="L565" s="298">
        <f t="shared" si="37"/>
        <v>9.8061658103693369E-2</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34603166.988839954</v>
      </c>
      <c r="L566" s="298">
        <f t="shared" si="37"/>
        <v>34603166.988839954</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2.5189940031168814E-5</v>
      </c>
      <c r="L567" s="298">
        <f t="shared" si="37"/>
        <v>2.5189940031168814E-5</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1.8959889830048968</v>
      </c>
      <c r="L568" s="298">
        <f t="shared" si="37"/>
        <v>1.8959889830048968</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0.99398695423687455</v>
      </c>
      <c r="L569" s="298">
        <f t="shared" si="37"/>
        <v>0.99398695423687455</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2.8900011271818027</v>
      </c>
      <c r="L570" s="298">
        <f t="shared" si="37"/>
        <v>2.8900011271818027</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1.1944436287358305E-4</v>
      </c>
      <c r="L571" s="298">
        <f t="shared" si="37"/>
        <v>1.1944436287358305E-4</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1.0030148799940002</v>
      </c>
      <c r="L572" s="298">
        <f t="shared" si="37"/>
        <v>1.0030148799940002</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4.2699878249163758E-13</v>
      </c>
      <c r="L573" s="298">
        <f t="shared" si="37"/>
        <v>4.2699878249163758E-13</v>
      </c>
      <c r="M573" s="567"/>
      <c r="N573" s="566"/>
      <c r="O573" s="604">
        <f>(kboltz*L374*L572)/(6*PI()*DYNVISC.a*L557)</f>
        <v>4.2699878249163758E-13</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9.9960916215246949E-3</v>
      </c>
      <c r="L574" s="298">
        <f t="shared" si="37"/>
        <v>9.9960916215246949E-3</v>
      </c>
      <c r="M574" s="567" t="s">
        <v>1669</v>
      </c>
      <c r="N574" s="566"/>
      <c r="O574" s="604">
        <f>L572</f>
        <v>1.0030148799940002</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165.82236832163622</v>
      </c>
      <c r="L575" s="298">
        <f t="shared" si="37"/>
        <v>165.82236832163622</v>
      </c>
      <c r="M575" s="567" t="s">
        <v>314</v>
      </c>
      <c r="N575" s="566"/>
      <c r="O575" s="604">
        <f>L557</f>
        <v>2.5000000049750844E-5</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9.8061658807157254E-2</v>
      </c>
      <c r="L576" s="298">
        <f t="shared" si="37"/>
        <v>9.8061658807157254E-2</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34603167.057908416</v>
      </c>
      <c r="L577" s="298">
        <f t="shared" si="37"/>
        <v>34603167.057908416</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2.5189940005005115E-5</v>
      </c>
      <c r="L578" s="298">
        <f t="shared" si="37"/>
        <v>2.5189940005005115E-5</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1.8959889891427175</v>
      </c>
      <c r="L579" s="298">
        <f t="shared" si="37"/>
        <v>1.8959889891427175</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0.99398695427811756</v>
      </c>
      <c r="L580" s="298">
        <f t="shared" si="37"/>
        <v>0.99398695427811756</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2.89000113336084</v>
      </c>
      <c r="L581" s="298">
        <f t="shared" si="37"/>
        <v>2.89000113336084</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4.427339359828555E-5</v>
      </c>
      <c r="L583" s="298">
        <f t="shared" si="37"/>
        <v>4.427339359828555E-5</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0.11068345079066867</v>
      </c>
      <c r="L584" s="298">
        <f t="shared" si="37"/>
        <v>0.11068345079066867</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5.2280482495898655</v>
      </c>
      <c r="L586" s="298">
        <f t="shared" si="37"/>
        <v>5.2280482495898655</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9.4172211127887551E-6</v>
      </c>
      <c r="L588" s="298">
        <f t="shared" si="37"/>
        <v>9.4172211127887551E-6</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1.6285714285714285E-2</v>
      </c>
      <c r="L589" s="298">
        <f t="shared" si="37"/>
        <v>1.6285714285714285E-2</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0.99042049992402881</v>
      </c>
      <c r="L593" s="298">
        <f t="shared" si="37"/>
        <v>0.99042049992402881</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4.427339387970211E-5</v>
      </c>
      <c r="L594" s="298">
        <f t="shared" ref="L594:L625" si="38">IF(ISBLANK(I594),IF(ISNUMBER(J594)=FALSE,K594,J594),I594)</f>
        <v>4.427339387970211E-5</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0.11068345149420986</v>
      </c>
      <c r="L595" s="298">
        <f t="shared" si="38"/>
        <v>0.11068345149420986</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5.2280482491046545</v>
      </c>
      <c r="L596" s="298">
        <f t="shared" si="38"/>
        <v>5.2280482491046545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9.4172211002574854E-6</v>
      </c>
      <c r="L597" s="298">
        <f t="shared" si="38"/>
        <v>9.4172211002574854E-6</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1.628571431373721E-2</v>
      </c>
      <c r="L598" s="298">
        <f t="shared" si="38"/>
        <v>1.628571431373721E-2</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0.99042049998945103</v>
      </c>
      <c r="L599" s="298">
        <f t="shared" si="38"/>
        <v>0.99042049998945103</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6.3107899968617171E-5</v>
      </c>
      <c r="L601" s="298">
        <f t="shared" si="38"/>
        <v>6.3107899968617171E-5</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0.10517980172707866</v>
      </c>
      <c r="L602" s="298">
        <f t="shared" si="38"/>
        <v>0.10517980172707866</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5.4860667203583375</v>
      </c>
      <c r="L604" s="298">
        <f t="shared" si="38"/>
        <v>5.4860667203583375</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1.6999732035527331E-4</v>
      </c>
      <c r="L606" s="298">
        <f t="shared" si="38"/>
        <v>1.6999732035527331E-4</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0.95919819176959886</v>
      </c>
      <c r="L607" s="298">
        <f t="shared" si="38"/>
        <v>0.95919819176959886</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6.3107900390743399E-5</v>
      </c>
      <c r="L608" s="298">
        <f t="shared" si="38"/>
        <v>6.3107900390743399E-5</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0.10517980243062214</v>
      </c>
      <c r="L609" s="298">
        <f t="shared" si="38"/>
        <v>0.10517980243062214</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5.486066718787507</v>
      </c>
      <c r="L610" s="298">
        <f t="shared" si="38"/>
        <v>5.486066718787507</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1.6999732018561464E-4</v>
      </c>
      <c r="L611" s="298">
        <f t="shared" si="38"/>
        <v>1.6999732018561464E-4</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0.95919819204446521</v>
      </c>
      <c r="L612" s="298">
        <f t="shared" si="38"/>
        <v>0.95919819204446521</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4.3757981659971794E-6</v>
      </c>
      <c r="L620" s="298">
        <f t="shared" si="38"/>
        <v>4.3757981659971794E-6</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4.3758008133263533E-6</v>
      </c>
      <c r="L621" s="298">
        <f t="shared" si="38"/>
        <v>4.3758008133263533E-6</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4.408707719870774E-6</v>
      </c>
      <c r="L622" s="298">
        <f t="shared" si="38"/>
        <v>4.408707719870774E-6</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1.3688456420492348E-7</v>
      </c>
      <c r="L623" s="298">
        <f t="shared" si="38"/>
        <v>1.3688456420492348E-7</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1.368846524492293E-7</v>
      </c>
      <c r="L624" s="298">
        <f t="shared" si="38"/>
        <v>1.368846524492293E-7</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1.3798154933404333E-7</v>
      </c>
      <c r="L625" s="298">
        <f t="shared" si="38"/>
        <v>1.3798154933404333E-7</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2.7100000000000001E-8</v>
      </c>
      <c r="L636" s="298">
        <f t="shared" si="40"/>
        <v>2.7100000000000001E-8</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2.7100000000000001E-8</v>
      </c>
      <c r="L637" s="298">
        <f t="shared" si="40"/>
        <v>2.7100000000000001E-8</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2.7100000000000001E-8</v>
      </c>
      <c r="L638" s="298">
        <f t="shared" si="40"/>
        <v>2.7100000000000001E-8</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2.7100000000000001E-8</v>
      </c>
      <c r="L639" s="298">
        <f t="shared" si="40"/>
        <v>2.7100000000000001E-8</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2.7100000000000001E-8</v>
      </c>
      <c r="L640" s="298">
        <f t="shared" si="40"/>
        <v>2.7100000000000001E-8</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2.7100000000000001E-8</v>
      </c>
      <c r="L641" s="298">
        <f t="shared" si="40"/>
        <v>2.7100000000000001E-8</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2.7032113986132251E-8</v>
      </c>
      <c r="L642" s="298">
        <f t="shared" si="40"/>
        <v>2.7032113986132251E-8</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2.7032113986132251E-8</v>
      </c>
      <c r="L643" s="298">
        <f t="shared" si="40"/>
        <v>2.7032113986132251E-8</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2.7032113986132251E-8</v>
      </c>
      <c r="L644" s="298">
        <f t="shared" si="40"/>
        <v>2.7032113986132251E-8</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2.7369383015177541E-8</v>
      </c>
      <c r="L645" s="298">
        <f t="shared" si="40"/>
        <v>2.7369383015177541E-8</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2.7369383015177541E-8</v>
      </c>
      <c r="L646" s="298">
        <f t="shared" si="40"/>
        <v>2.7369383015177541E-8</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2.7030000000000001E-8</v>
      </c>
      <c r="L647" s="298">
        <f t="shared" si="40"/>
        <v>2.7030000000000001E-8</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5.6604965916483981E-6</v>
      </c>
      <c r="L722" s="298">
        <f t="shared" ref="L722:L729" si="46">IF(ISBLANK(I722),IF(ISNUMBER(J722)=FALSE,K722,J722),I722)</f>
        <v>5.6604965916483981E-6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2.4259271107047427E-6</v>
      </c>
      <c r="L723" s="298">
        <f t="shared" si="46"/>
        <v>2.4259271107047427E-6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8.817455232585418E-24</v>
      </c>
      <c r="L725" s="298">
        <f t="shared" si="46"/>
        <v>8.817455232585418E-24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8.0864237023473826E-6</v>
      </c>
      <c r="L726" s="298">
        <f t="shared" si="46"/>
        <v>8.0864237023473826E-6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8.4861474571242729E-6</v>
      </c>
      <c r="L727" s="298">
        <f t="shared" si="46"/>
        <v>8.4861474571242729E-6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1.3997237547752116E-6</v>
      </c>
      <c r="L728" s="298">
        <f t="shared" si="46"/>
        <v>1.3997237547752116E-6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1.7580127304090625E-15</v>
      </c>
      <c r="L739" s="298">
        <f t="shared" si="47"/>
        <v>1.7580127304090625E-15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4.408727616292709E-25</v>
      </c>
      <c r="L741" s="298">
        <f t="shared" si="47"/>
        <v>4.408727616292709E-25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6.5846009179950351E-10</v>
      </c>
      <c r="L746" s="298">
        <f t="shared" si="47"/>
        <v>6.5846009179950351E-10</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3.663258877113768E-10</v>
      </c>
      <c r="L769" s="298">
        <f t="shared" ref="L769:L786" si="49">IF(ISBLANK(I769),IF(ISNUMBER(J769)=FALSE,K769,J769),I769)</f>
        <v>3.663258877113768E-10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1.3159726832670545E-7</v>
      </c>
      <c r="L770" s="298">
        <f t="shared" si="49"/>
        <v>1.3159726832670545E-7</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1.3159726832670545E-7</v>
      </c>
      <c r="L771" s="298">
        <f t="shared" si="49"/>
        <v>1.3159726832670545E-7</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6.6057407793175462E-10</v>
      </c>
      <c r="L772" s="298">
        <f t="shared" si="49"/>
        <v>6.6057407793175462E-10</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6.6430377285554063E-9</v>
      </c>
      <c r="L773" s="298">
        <f t="shared" si="49"/>
        <v>6.6430377285554063E-9</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5.8832304738138525E-18</v>
      </c>
      <c r="L775" s="298">
        <f t="shared" si="49"/>
        <v>5.8832304738138525E-18</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1.3159726832670545E-7</v>
      </c>
      <c r="L778" s="298">
        <f t="shared" si="49"/>
        <v>1.3159726832670545E-7</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1.3159726832670545E-7</v>
      </c>
      <c r="L779" s="298">
        <f t="shared" si="49"/>
        <v>1.3159726832670545E-7</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6.5846009179950362E-10</v>
      </c>
      <c r="L783" s="298">
        <f t="shared" si="49"/>
        <v>6.5846009179950362E-10</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6.5846009179950347E-9</v>
      </c>
      <c r="L784" s="298">
        <f t="shared" si="49"/>
        <v>6.5846009179950347E-9</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1.4657224803416391E-2</v>
      </c>
      <c r="L790" s="298">
        <f t="shared" ref="L790:L805" si="50">IF(ISBLANK(I790),IF(ISNUMBER(J790)=FALSE,K790,J790),I790)</f>
        <v>1.4657224803416391E-2</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1.4170591525423649E-2</v>
      </c>
      <c r="L791" s="298">
        <f t="shared" si="50"/>
        <v>1.4170591525423649E-2</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0.99837536080437672</v>
      </c>
      <c r="L795" s="298">
        <f t="shared" si="50"/>
        <v>0.99837536080437672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4.8663327799274199E-4</v>
      </c>
      <c r="L796" s="298">
        <f t="shared" si="50"/>
        <v>4.8663327799274199E-4</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0.99893746654336302</v>
      </c>
      <c r="L800" s="298">
        <f t="shared" si="50"/>
        <v>0.99893746654336302</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1.4625218272019049E-9</v>
      </c>
      <c r="L801" s="298">
        <f t="shared" si="50"/>
        <v>1.4625218272019049E-9</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0.99823388059492124</v>
      </c>
      <c r="L805" s="298">
        <f t="shared" si="50"/>
        <v>0.99823388059492124</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0.36375449477675742</v>
      </c>
      <c r="L807" s="298">
        <f t="shared" ref="L807:L828" si="51">IF(ISBLANK(I807),IF(ISNUMBER(J807)=FALSE,K807,J807),I807)</f>
        <v>0.36375449477675742</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1.0284916036508355E-12</v>
      </c>
      <c r="L809" s="298">
        <f t="shared" si="51"/>
        <v>1.0284916036508355E-12</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2.1210587833333338E-13</v>
      </c>
      <c r="L810" s="298">
        <f t="shared" si="51"/>
        <v>2.1210587833333338E-13</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0.36375449477675742</v>
      </c>
      <c r="L812" s="298">
        <f t="shared" si="51"/>
        <v>0.36375449477675742</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1.0284916036508355E-12</v>
      </c>
      <c r="L814" s="298">
        <f t="shared" si="51"/>
        <v>1.0284916036508355E-12</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2.1210587833333338E-13</v>
      </c>
      <c r="L815" s="298">
        <f t="shared" si="51"/>
        <v>2.1210587833333338E-13</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4.6172693957543404E-16</v>
      </c>
      <c r="L817" s="551">
        <f t="shared" si="51"/>
        <v>4.6172693957543404E-16</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8.1592399837792659E-13</v>
      </c>
      <c r="L818" s="298">
        <f t="shared" si="51"/>
        <v>8.1592399837792659E-13</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2.1781723137625713E-4</v>
      </c>
      <c r="L819" s="298">
        <f t="shared" si="51"/>
        <v>2.1781723137625713E-4</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1.2317274250504517E-12</v>
      </c>
      <c r="L821" s="298">
        <f t="shared" si="51"/>
        <v>1.2317274250504517E-12</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2.9269333333333338E-13</v>
      </c>
      <c r="L822" s="298">
        <f t="shared" si="51"/>
        <v>2.9269333333333338E-13</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2.1781723137625713E-4</v>
      </c>
      <c r="L823" s="298">
        <f t="shared" si="51"/>
        <v>2.1781723137625713E-4</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1.2317274250504517E-12</v>
      </c>
      <c r="L825" s="298">
        <f t="shared" si="51"/>
        <v>1.2317274250504517E-12</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2.9269333333333338E-13</v>
      </c>
      <c r="L826" s="298">
        <f t="shared" si="51"/>
        <v>2.9269333333333338E-13</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2.861510227913951E-17</v>
      </c>
      <c r="L827" s="298">
        <f t="shared" si="51"/>
        <v>2.861510227913951E-17</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9.3900547661483939E-13</v>
      </c>
      <c r="L828" s="298">
        <f t="shared" si="51"/>
        <v>9.3900547661483939E-13</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0.57747477179530093</v>
      </c>
      <c r="L830" s="298">
        <f t="shared" ref="L830:L847" si="52">IF(ISBLANK(I830),IF(ISNUMBER(J830)=FALSE,K830,J830),I830)</f>
        <v>0.57747477179530093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4.6172693957543404E-16</v>
      </c>
      <c r="L832" s="551">
        <f t="shared" si="52"/>
        <v>4.6172693957543404E-16</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8.1592399837792659E-13</v>
      </c>
      <c r="L833" s="298">
        <f t="shared" si="52"/>
        <v>8.1592399837792659E-13</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2.8708223139820217E-3</v>
      </c>
      <c r="L834" s="298">
        <f t="shared" si="52"/>
        <v>2.8708223139820217E-3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21.775718885315488</v>
      </c>
      <c r="L837" s="298">
        <f t="shared" si="52"/>
        <v>21.775718885315488</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5.9955933889240627E-4</v>
      </c>
      <c r="L838" s="298">
        <f t="shared" si="52"/>
        <v>5.9955933889240627E-4</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8.3955486663057945E-3</v>
      </c>
      <c r="L842" s="298">
        <f t="shared" si="52"/>
        <v>8.3955486663057945E-3</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21.76672377731029</v>
      </c>
      <c r="L843" s="298">
        <f t="shared" si="52"/>
        <v>21.76672377731029</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0.48610547417802075</v>
      </c>
      <c r="L844" s="298">
        <f t="shared" si="52"/>
        <v>0.48610547417802075</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0.19531250000000003</v>
      </c>
      <c r="L845" s="298">
        <f t="shared" si="52"/>
        <v>0.19531250000000003</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264418.50424099073</v>
      </c>
      <c r="L846" s="298">
        <f t="shared" si="52"/>
        <v>264418.50424099073</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45.628188068307836</v>
      </c>
      <c r="L847" s="298">
        <f t="shared" si="52"/>
        <v>45.628188068307836</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28.87373858976505</v>
      </c>
      <c r="L849" s="298">
        <f>IF(ISBLANK(I849),IF(ISNUMBER(J849)=FALSE,K849,J849),I849)</f>
        <v>28.87373858976505</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4.6172693957543404E-16</v>
      </c>
      <c r="L852" s="298">
        <f t="shared" ref="L852:L867" si="53">IF(ISBLANK(I852),IF(ISNUMBER(J852)=FALSE,K852,J852),I852)</f>
        <v>4.6172693957543404E-16</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8.1592399837792659E-13</v>
      </c>
      <c r="L853" s="298">
        <f t="shared" si="53"/>
        <v>8.1592399837792659E-13</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1.7225390345332336E-2</v>
      </c>
      <c r="L854" s="298">
        <f t="shared" si="53"/>
        <v>1.7225390345332336E-2</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21.776295942741115</v>
      </c>
      <c r="L857" s="298">
        <f t="shared" si="53"/>
        <v>21.776295942741115</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1.1766167645195134E-3</v>
      </c>
      <c r="L858" s="298">
        <f t="shared" si="53"/>
        <v>1.1766167645195134E-3</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8.3955486663057945E-3</v>
      </c>
      <c r="L862" s="298">
        <f t="shared" si="53"/>
        <v>8.3955486663057945E-3</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21.76672377731029</v>
      </c>
      <c r="L863" s="298">
        <f t="shared" si="53"/>
        <v>21.76672377731029</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0.19531250000000003</v>
      </c>
      <c r="L864" s="298">
        <f t="shared" si="53"/>
        <v>0.19531250000000003</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264418.50424099073</v>
      </c>
      <c r="L865" s="298">
        <f t="shared" si="53"/>
        <v>264418.50424099073</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0.48610547417802075</v>
      </c>
      <c r="L866" s="298">
        <f t="shared" si="53"/>
        <v>0.48610547417802075</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45.628188068307836</v>
      </c>
      <c r="L867" s="298">
        <f t="shared" si="53"/>
        <v>45.628188068307836</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2.5000000049750844E-5</v>
      </c>
      <c r="L879" s="298">
        <f>IF(ISBLANK(I879),IF(ISNUMBER(J879)=FALSE,K879,J879),I879)</f>
        <v>2.5000000049750844E-5</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1300.0000041555656</v>
      </c>
      <c r="L880" s="298">
        <f>IF(ISBLANK(I880),IF(ISNUMBER(J880)=FALSE,K880,J880),I880)</f>
        <v>1300.0000041555656</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6.5449847340529238E-14</v>
      </c>
      <c r="L881" s="298">
        <f>IF(ISBLANK(I881),IF(ISNUMBER(J881)=FALSE,K881,J881),I881)</f>
        <v>6.5449847340529238E-14</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8.5084801814669148E-11</v>
      </c>
      <c r="L882" s="298">
        <f>IF(ISBLANK(I882),IF(ISNUMBER(J882)=FALSE,K882,J882),I882)</f>
        <v>8.5084801814669148E-11</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3.4609124129254956E-4</v>
      </c>
      <c r="L884" s="298">
        <f t="shared" ref="L884:L915" si="55">IF(ISBLANK(I884),IF(ISNUMBER(J884)=FALSE,K884,J884),I884)</f>
        <v>3.4609124129254956E-4</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9.9960915498158373E-3</v>
      </c>
      <c r="L885" s="298">
        <f t="shared" si="55"/>
        <v>9.9960915498158373E-3</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256.18292326799434</v>
      </c>
      <c r="L886" s="298">
        <f t="shared" si="55"/>
        <v>256.18292326799434</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9.8061658103693369E-2</v>
      </c>
      <c r="L887" s="298">
        <f t="shared" si="55"/>
        <v>9.8061658103693369E-2</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30539036.637801696</v>
      </c>
      <c r="L888" s="298">
        <f t="shared" si="55"/>
        <v>30539036.637801696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1.4485419525453827E-5</v>
      </c>
      <c r="L889" s="298">
        <f t="shared" si="55"/>
        <v>1.4485419525453827E-5</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1.4356392761935948</v>
      </c>
      <c r="L890" s="298">
        <f t="shared" si="55"/>
        <v>1.4356392761935948</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0.99610481148321628</v>
      </c>
      <c r="L891" s="298">
        <f t="shared" si="55"/>
        <v>0.99610481148321628</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2.4317585730963365</v>
      </c>
      <c r="L892" s="298">
        <f t="shared" si="55"/>
        <v>2.4317585730963365</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3.4609124197692936E-4</v>
      </c>
      <c r="L893" s="298">
        <f t="shared" si="55"/>
        <v>3.4609124197692936E-4</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1.0030148799940002</v>
      </c>
      <c r="L894" s="298">
        <f t="shared" si="55"/>
        <v>1.0030148799940002</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4.8382371552284418E-13</v>
      </c>
      <c r="L895" s="298">
        <f t="shared" si="55"/>
        <v>4.8382371552284418E-13</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9.9960916215246949E-3</v>
      </c>
      <c r="L896" s="298">
        <f t="shared" si="55"/>
        <v>9.9960916215246949E-3</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256.18292507340101</v>
      </c>
      <c r="L897" s="298">
        <f t="shared" si="55"/>
        <v>256.18292507340101</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9.8061658807157254E-2</v>
      </c>
      <c r="L898" s="298">
        <f t="shared" si="55"/>
        <v>9.8061658807157254E-2</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30539036.698758092</v>
      </c>
      <c r="L899" s="298">
        <f t="shared" si="55"/>
        <v>30539036.698758092</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1.4485419510398773E-5</v>
      </c>
      <c r="L900" s="298">
        <f t="shared" si="55"/>
        <v>1.4485419510398773E-5</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1.4356392809749097</v>
      </c>
      <c r="L901" s="298">
        <f t="shared" si="55"/>
        <v>1.4356392809749097</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0.99610481151060892</v>
      </c>
      <c r="L902" s="298">
        <f t="shared" si="55"/>
        <v>0.99610481151060892</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2.431758577905029</v>
      </c>
      <c r="L903" s="298">
        <f t="shared" si="55"/>
        <v>2.431758577905029</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3.3205877514015598E-5</v>
      </c>
      <c r="L905" s="298">
        <f t="shared" si="55"/>
        <v>3.3205877514015598E-5</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0.11068622517417447</v>
      </c>
      <c r="L906" s="298">
        <f t="shared" si="55"/>
        <v>0.11068622517417447</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5.2106370394443875</v>
      </c>
      <c r="L908" s="298">
        <f t="shared" si="55"/>
        <v>5.2106370394443875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1.0235202622905995E-5</v>
      </c>
      <c r="L910" s="298">
        <f t="shared" si="55"/>
        <v>1.0235202622905995E-5</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1.6285714285714285E-2</v>
      </c>
      <c r="L911" s="298">
        <f t="shared" si="55"/>
        <v>1.6285714285714285E-2</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0.9937835964280014</v>
      </c>
      <c r="L915" s="298">
        <f t="shared" si="55"/>
        <v>0.9937835964280014</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3.3205877725072492E-5</v>
      </c>
      <c r="L916" s="298">
        <f t="shared" ref="L916:L947" si="56">IF(ISBLANK(I916),IF(ISNUMBER(J916)=FALSE,K916,J916),I916)</f>
        <v>3.3205877725072492E-5</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0.11068622587769723</v>
      </c>
      <c r="L917" s="298">
        <f t="shared" si="56"/>
        <v>0.11068622587769723</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5.2106370390749568</v>
      </c>
      <c r="L918" s="298">
        <f t="shared" si="56"/>
        <v>5.2106370390749568</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1.0235202609286239E-5</v>
      </c>
      <c r="L919" s="298">
        <f t="shared" si="56"/>
        <v>1.0235202609286239E-5</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1.628571431373721E-2</v>
      </c>
      <c r="L920" s="298">
        <f t="shared" si="56"/>
        <v>1.628571431373721E-2</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0.99378359647160608</v>
      </c>
      <c r="L921" s="298">
        <f t="shared" si="56"/>
        <v>0.99378359647160608</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7.3628724684464761E-5</v>
      </c>
      <c r="L923" s="298">
        <f t="shared" si="56"/>
        <v>7.3628724684464761E-5</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0.1051838608512105</v>
      </c>
      <c r="L924" s="298">
        <f t="shared" si="56"/>
        <v>0.1051838608512105</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5.4060001449145734</v>
      </c>
      <c r="L926" s="298">
        <f t="shared" si="56"/>
        <v>5.4060001449145734</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1.8095572742306179E-4</v>
      </c>
      <c r="L928" s="298">
        <f t="shared" si="56"/>
        <v>1.8095572742306179E-4</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0.97339613521806967</v>
      </c>
      <c r="L929" s="298">
        <f t="shared" si="56"/>
        <v>0.97339613521806967</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7.3628725176926043E-5</v>
      </c>
      <c r="L930" s="298">
        <f t="shared" si="56"/>
        <v>7.3628725176926043E-5</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0.10518386155472642</v>
      </c>
      <c r="L931" s="298">
        <f t="shared" si="56"/>
        <v>0.10518386155472642</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5.4060001438884902</v>
      </c>
      <c r="L932" s="298">
        <f t="shared" si="56"/>
        <v>5.4060001438884902</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1.8095572724246653E-4</v>
      </c>
      <c r="L933" s="298">
        <f t="shared" si="56"/>
        <v>1.8095572724246653E-4</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0.9733961354030396</v>
      </c>
      <c r="L934" s="298">
        <f t="shared" si="56"/>
        <v>0.9733961354030396</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4.3337813592744909E-6</v>
      </c>
      <c r="L942" s="298">
        <f t="shared" si="56"/>
        <v>4.3337813592744909E-6</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4.3337840066036657E-6</v>
      </c>
      <c r="L943" s="298">
        <f t="shared" si="56"/>
        <v>4.3337840066036657E-6</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4.3666909131480864E-6</v>
      </c>
      <c r="L944" s="298">
        <f t="shared" si="56"/>
        <v>4.3666909131480864E-6</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1.3688456420492351E-7</v>
      </c>
      <c r="L945" s="298">
        <f t="shared" si="56"/>
        <v>1.3688456420492351E-7</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1.368846524492293E-7</v>
      </c>
      <c r="L946" s="298">
        <f t="shared" si="56"/>
        <v>1.368846524492293E-7</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1.3798154933404335E-7</v>
      </c>
      <c r="L947" s="298">
        <f t="shared" si="56"/>
        <v>1.3798154933404335E-7</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2.7100000000000001E-8</v>
      </c>
      <c r="L958" s="298">
        <f t="shared" si="58"/>
        <v>2.7100000000000001E-8</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2.7100000000000001E-8</v>
      </c>
      <c r="L959" s="298">
        <f t="shared" si="58"/>
        <v>2.7100000000000001E-8</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2.7100000000000001E-8</v>
      </c>
      <c r="L960" s="298">
        <f t="shared" si="58"/>
        <v>2.7100000000000001E-8</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2.7100000000000001E-8</v>
      </c>
      <c r="L961" s="298">
        <f t="shared" si="58"/>
        <v>2.7100000000000001E-8</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2.7100000000000001E-8</v>
      </c>
      <c r="L962" s="298">
        <f t="shared" si="58"/>
        <v>2.7100000000000001E-8</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2.7100000000000001E-8</v>
      </c>
      <c r="L963" s="298">
        <f t="shared" si="58"/>
        <v>2.7100000000000001E-8</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2.7031268391679352E-8</v>
      </c>
      <c r="L964" s="298">
        <f t="shared" si="58"/>
        <v>2.7031268391679352E-8</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2.7031268391679352E-8</v>
      </c>
      <c r="L965" s="298">
        <f t="shared" si="58"/>
        <v>2.7031268391679352E-8</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2.7031268391679352E-8</v>
      </c>
      <c r="L966" s="298">
        <f t="shared" si="58"/>
        <v>2.7031268391679352E-8</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2.8794791678923215E-8</v>
      </c>
      <c r="L967" s="298">
        <f t="shared" si="58"/>
        <v>2.8794791678923215E-8</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2.8794791678923215E-8</v>
      </c>
      <c r="L968" s="298">
        <f t="shared" si="58"/>
        <v>2.8794791678923215E-8</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2.7030000000000001E-8</v>
      </c>
      <c r="L969" s="298">
        <f t="shared" si="58"/>
        <v>2.7030000000000001E-8</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-1.4369860013886395E-2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1.4018312200551766E-2</v>
      </c>
      <c r="F11" s="189">
        <f>-SUM(F$9:F10,F12:F$163)-k.aRA</f>
        <v>-3.5154641573539928E-4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1.3987750287120771E-9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2.3146552936165996E-4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2.3146552983392571E-4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1.7086070818562728E-8</v>
      </c>
      <c r="E16" s="185">
        <v>0</v>
      </c>
      <c r="F16" s="185">
        <v>0</v>
      </c>
      <c r="G16" s="184">
        <v>0</v>
      </c>
      <c r="H16" s="185">
        <v>0</v>
      </c>
      <c r="I16" s="185">
        <v>0</v>
      </c>
      <c r="J16" s="185">
        <v>0</v>
      </c>
      <c r="K16" s="368">
        <f>-k.w0RD-SUM(K9:K15,K17:K163)</f>
        <v>-5.5945789049849039E-8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2.7542287735590421E-7</v>
      </c>
      <c r="F17" s="185">
        <v>0</v>
      </c>
      <c r="G17" s="184">
        <v>0</v>
      </c>
      <c r="H17" s="185">
        <f>k.cwRS.w0RS</f>
        <v>1.8416810158380553E-7</v>
      </c>
      <c r="I17" s="185">
        <v>0</v>
      </c>
      <c r="J17" s="185">
        <v>0</v>
      </c>
      <c r="K17" s="370">
        <v>0</v>
      </c>
      <c r="L17" s="189">
        <f>-SUM(L$9:L16,L18:L$163)-k.w0RS</f>
        <v>-0.29625323222718569</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2.754228791073785E-7</v>
      </c>
      <c r="G18" s="184">
        <v>0</v>
      </c>
      <c r="H18" s="185">
        <v>0</v>
      </c>
      <c r="I18" s="185">
        <f>k.cwRA.w0RA</f>
        <v>1.8416810158380553E-7</v>
      </c>
      <c r="J18" s="185">
        <v>0</v>
      </c>
      <c r="K18" s="370">
        <v>0</v>
      </c>
      <c r="L18" s="184">
        <f>k.w0RS.w0RA</f>
        <v>0.29623197285101754</v>
      </c>
      <c r="M18" s="189">
        <f>-SUM(M$9:M17,M19:M$163)-k.w0RA</f>
        <v>-4.1360368337508523E-6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1.7123341981656875E-5</v>
      </c>
      <c r="M19" s="367">
        <v>0</v>
      </c>
      <c r="N19" s="189">
        <f>-SUM(N$9:N18,N20:N$163)-k.w0RP</f>
        <v>-4.1689437402952722E-6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1.8794677900419003E-7</v>
      </c>
      <c r="E20" s="185">
        <v>0</v>
      </c>
      <c r="F20" s="185">
        <v>0</v>
      </c>
      <c r="G20" s="184">
        <v>0</v>
      </c>
      <c r="H20" s="337">
        <v>0</v>
      </c>
      <c r="I20" s="337">
        <v>0</v>
      </c>
      <c r="J20" s="337">
        <v>0</v>
      </c>
      <c r="K20" s="337">
        <f>k.w0R.w1R</f>
        <v>2.3972602739726025E-9</v>
      </c>
      <c r="L20" s="337">
        <v>0</v>
      </c>
      <c r="M20" s="337">
        <v>0</v>
      </c>
      <c r="N20" s="337">
        <v>0</v>
      </c>
      <c r="O20" s="371">
        <f>-k.w1RD-SUM(O9:O19,O21:O163)</f>
        <v>-1.5202159093257672E-7</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3.0296516509149461E-6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-1.0410892938188137</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3.0296516701811636E-6</v>
      </c>
      <c r="G22" s="184">
        <v>0</v>
      </c>
      <c r="H22" s="337">
        <v>0</v>
      </c>
      <c r="I22" s="337">
        <f>k.cwRA.w1RA</f>
        <v>2.0258491174218609E-6</v>
      </c>
      <c r="J22" s="337">
        <v>0</v>
      </c>
      <c r="K22" s="337">
        <v>0</v>
      </c>
      <c r="L22" s="337">
        <v>0</v>
      </c>
      <c r="M22" s="337">
        <f>k.w0R.w1R</f>
        <v>2.3972602739726025E-9</v>
      </c>
      <c r="N22" s="337">
        <v>0</v>
      </c>
      <c r="O22" s="374">
        <v>0</v>
      </c>
      <c r="P22" s="338">
        <f>k.w1RS.w1RA</f>
        <v>1.0389013507541767</v>
      </c>
      <c r="Q22" s="189">
        <f>-k.w1RA-SUM(Q$9:Q21,Q23:Q$163)</f>
        <v>-1.3698439669995575E-4</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2.0509587561811523E-3</v>
      </c>
      <c r="Q23" s="377">
        <v>0</v>
      </c>
      <c r="R23" s="189">
        <f>-k.w1RP-SUM(R$9:R22,R24:R$163)</f>
        <v>-1.3808129358476974E-4</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-1.4281640930893031E-6</v>
      </c>
      <c r="T24" s="369">
        <f>kdis.w2S.w2D</f>
        <v>0</v>
      </c>
      <c r="U24" s="369">
        <f>kdis.w2A.w2D</f>
        <v>0</v>
      </c>
      <c r="V24" s="365">
        <f>kdis.w2P.w2D</f>
        <v>0</v>
      </c>
      <c r="W24" s="184">
        <v>0</v>
      </c>
      <c r="X24" s="184">
        <v>0</v>
      </c>
      <c r="Y24" s="184">
        <v>0</v>
      </c>
      <c r="Z24" s="184">
        <v>0</v>
      </c>
      <c r="AA24" s="190">
        <v>0</v>
      </c>
      <c r="AB24" s="190">
        <v>0</v>
      </c>
      <c r="AC24" s="190">
        <v>0</v>
      </c>
      <c r="AD24" s="190">
        <v>0</v>
      </c>
      <c r="AE24" s="185">
        <f>k.sd2RD.w2RD</f>
        <v>4.4425291563015679E-8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4.5817221571682812E-7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-0.36400765017655395</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4.5817221878136236E-7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0.36374737084221381</v>
      </c>
      <c r="U26" s="440">
        <f>-k.w2RA-SUM(U$9:U25,U27:U$163)</f>
        <v>-4.2462350186823584E-5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2.1781701062661258E-4</v>
      </c>
      <c r="U27" s="367">
        <v>0</v>
      </c>
      <c r="V27" s="440">
        <f>-k.w2RP-SUM(V$9:V26,V28:V$163)</f>
        <v>-4.2791419252267788E-5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4.1065369261477055E-6</v>
      </c>
      <c r="M29" s="185">
        <v>0</v>
      </c>
      <c r="N29" s="185">
        <v>0</v>
      </c>
      <c r="O29" s="337">
        <v>0</v>
      </c>
      <c r="P29" s="337">
        <v>0</v>
      </c>
      <c r="Q29" s="337">
        <v>0</v>
      </c>
      <c r="R29" s="337">
        <v>0</v>
      </c>
      <c r="S29" s="184">
        <v>0</v>
      </c>
      <c r="T29" s="184">
        <v>0</v>
      </c>
      <c r="U29" s="184">
        <v>0</v>
      </c>
      <c r="V29" s="184">
        <v>0</v>
      </c>
      <c r="W29" s="370">
        <v>0</v>
      </c>
      <c r="X29" s="189">
        <f>-k.sd0RS-SUM(X$9:X28,X30:X$163)</f>
        <v>-0.58033816579222186</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4.1065395734768794E-6</v>
      </c>
      <c r="N30" s="185">
        <v>0</v>
      </c>
      <c r="O30" s="337">
        <v>0</v>
      </c>
      <c r="P30" s="337">
        <v>0</v>
      </c>
      <c r="Q30" s="337">
        <v>0</v>
      </c>
      <c r="R30" s="337">
        <v>0</v>
      </c>
      <c r="S30" s="184">
        <v>0</v>
      </c>
      <c r="T30" s="184">
        <v>0</v>
      </c>
      <c r="U30" s="184">
        <v>0</v>
      </c>
      <c r="V30" s="184">
        <v>0</v>
      </c>
      <c r="W30" s="370">
        <v>0</v>
      </c>
      <c r="X30" s="184">
        <f>k.sd0RS.sd0RA</f>
        <v>0.57746052392621372</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4.1394464800212992E-6</v>
      </c>
      <c r="O31" s="337">
        <v>0</v>
      </c>
      <c r="P31" s="337">
        <v>0</v>
      </c>
      <c r="Q31" s="337">
        <v>0</v>
      </c>
      <c r="R31" s="337">
        <v>0</v>
      </c>
      <c r="S31" s="184">
        <v>0</v>
      </c>
      <c r="T31" s="184">
        <v>0</v>
      </c>
      <c r="U31" s="184">
        <v>0</v>
      </c>
      <c r="V31" s="184">
        <v>0</v>
      </c>
      <c r="W31" s="366">
        <v>0</v>
      </c>
      <c r="X31" s="367">
        <f>k.sd0RS.sd0RP</f>
        <v>2.8776119406398494E-3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-6.5213948806121164E-8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1.3688456420492352E-4</v>
      </c>
      <c r="Q33" s="185">
        <v>0</v>
      </c>
      <c r="R33" s="184">
        <v>0</v>
      </c>
      <c r="S33" s="190">
        <v>0</v>
      </c>
      <c r="T33" s="190">
        <v>0</v>
      </c>
      <c r="U33" s="190">
        <v>0</v>
      </c>
      <c r="V33" s="190">
        <v>0</v>
      </c>
      <c r="W33" s="190">
        <v>0</v>
      </c>
      <c r="X33" s="190">
        <v>0</v>
      </c>
      <c r="Y33" s="190">
        <v>0</v>
      </c>
      <c r="Z33" s="190">
        <v>0</v>
      </c>
      <c r="AA33" s="370">
        <v>0</v>
      </c>
      <c r="AB33" s="189">
        <f>-k.sd1RS-SUM(AB$9:AB32,AB34:AB$163)</f>
        <v>-0.58033819230727279</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1.3688465244922931E-4</v>
      </c>
      <c r="R34" s="184">
        <v>0</v>
      </c>
      <c r="S34" s="190">
        <v>0</v>
      </c>
      <c r="T34" s="190">
        <v>0</v>
      </c>
      <c r="U34" s="190">
        <v>0</v>
      </c>
      <c r="V34" s="190">
        <v>0</v>
      </c>
      <c r="W34" s="190">
        <v>0</v>
      </c>
      <c r="X34" s="190">
        <v>0</v>
      </c>
      <c r="Y34" s="190">
        <v>0</v>
      </c>
      <c r="Z34" s="190">
        <v>0</v>
      </c>
      <c r="AA34" s="370">
        <v>0</v>
      </c>
      <c r="AB34" s="184">
        <f>k.sd1RS.sd1RA</f>
        <v>0.57746052392621372</v>
      </c>
      <c r="AC34" s="189">
        <f>-k.sd1RA-SUM(AC$9:AC33,AC35:AC$163)</f>
        <v>-5.6440419161676665E-8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1.3798154933404331E-4</v>
      </c>
      <c r="S35" s="190">
        <v>0</v>
      </c>
      <c r="T35" s="190">
        <v>0</v>
      </c>
      <c r="U35" s="190">
        <v>0</v>
      </c>
      <c r="V35" s="190">
        <v>0</v>
      </c>
      <c r="W35" s="190">
        <v>0</v>
      </c>
      <c r="X35" s="190">
        <v>0</v>
      </c>
      <c r="Y35" s="190">
        <v>0</v>
      </c>
      <c r="Z35" s="190">
        <v>0</v>
      </c>
      <c r="AA35" s="366">
        <v>0</v>
      </c>
      <c r="AB35" s="367">
        <f>k.sd1RS.sd1RP</f>
        <v>2.8776119406398494E-3</v>
      </c>
      <c r="AC35" s="367">
        <v>0</v>
      </c>
      <c r="AD35" s="189">
        <f>-k.sd1RP-SUM(AD$9:AD34,AD36:AD$163)</f>
        <v>-5.6440419161676665E-8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-4.560700269833673E-8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4.1065369261477055E-5</v>
      </c>
      <c r="U37" s="185">
        <v>0</v>
      </c>
      <c r="V37" s="184">
        <v>0</v>
      </c>
      <c r="W37" s="185">
        <v>0</v>
      </c>
      <c r="X37" s="185">
        <v>0</v>
      </c>
      <c r="Y37" s="185">
        <v>0</v>
      </c>
      <c r="Z37" s="185">
        <v>0</v>
      </c>
      <c r="AA37" s="190">
        <v>0</v>
      </c>
      <c r="AB37" s="190">
        <v>0</v>
      </c>
      <c r="AC37" s="190">
        <v>0</v>
      </c>
      <c r="AD37" s="190">
        <v>0</v>
      </c>
      <c r="AE37" s="370">
        <v>0</v>
      </c>
      <c r="AF37" s="189">
        <f>-k.sd2RS-SUM(AF$9:AF36,AF38:AF$163)</f>
        <v>-0.58033817270032662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4.1065395734768794E-5</v>
      </c>
      <c r="V38" s="184">
        <v>0</v>
      </c>
      <c r="W38" s="185">
        <v>0</v>
      </c>
      <c r="X38" s="185">
        <v>0</v>
      </c>
      <c r="Y38" s="185">
        <v>0</v>
      </c>
      <c r="Z38" s="185">
        <v>0</v>
      </c>
      <c r="AA38" s="190">
        <v>0</v>
      </c>
      <c r="AB38" s="190">
        <v>0</v>
      </c>
      <c r="AC38" s="190">
        <v>0</v>
      </c>
      <c r="AD38" s="190">
        <v>0</v>
      </c>
      <c r="AE38" s="370">
        <v>0</v>
      </c>
      <c r="AF38" s="184">
        <f>k.sd2RS.sd2RA</f>
        <v>0.57746052392621372</v>
      </c>
      <c r="AG38" s="189">
        <f>-k.sd2RA-SUM(AG$9:AG37,AG39:AG$163)</f>
        <v>-3.6833473053892225E-8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4.1394464800212997E-5</v>
      </c>
      <c r="W39" s="185">
        <v>0</v>
      </c>
      <c r="X39" s="185">
        <v>0</v>
      </c>
      <c r="Y39" s="185">
        <v>0</v>
      </c>
      <c r="Z39" s="185">
        <v>0</v>
      </c>
      <c r="AA39" s="190">
        <v>0</v>
      </c>
      <c r="AB39" s="190">
        <v>0</v>
      </c>
      <c r="AC39" s="190">
        <v>0</v>
      </c>
      <c r="AD39" s="190">
        <v>0</v>
      </c>
      <c r="AE39" s="366">
        <v>0</v>
      </c>
      <c r="AF39" s="367">
        <f>k.sd2RS.sd2RP</f>
        <v>2.8776119406398494E-3</v>
      </c>
      <c r="AG39" s="367">
        <v>0</v>
      </c>
      <c r="AH39" s="189">
        <f>-k.sd2RP-SUM(AH$9:AH38,AH40:AH$163)</f>
        <v>-3.6833473053892225E-8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2.9754871066880393E-5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-28.890292480166838</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2.9754871256005804E-5</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28.87302619631069</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1.7266114823914148E-2</v>
      </c>
      <c r="AK43" s="367">
        <v>0</v>
      </c>
      <c r="AL43" s="189">
        <f>-k.s1RP-SUM(AL$9:AL42,AL44:AL$163)</f>
        <v>-2.7054177074605566E-8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-4.824586770599474E-9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6.6121935704178635E-5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-28.890292402779423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6.6121936124457329E-5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28.87302619631069</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-2.7041001880163146E-8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1.1020322617363108E-5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-28.890292480166838</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1.1020322687409557E-5</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28.87302619631069</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-2.7054177074605566E-8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-1.4359308181598369E-2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-3.4099458344737002E-4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1.3987750287120771E-9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2.3146552716305082E-4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2.3146552763531668E-4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-5.5945789049849039E-8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1.3394179385587654E-7</v>
      </c>
      <c r="AW60" s="185">
        <v>0</v>
      </c>
      <c r="AX60" s="184">
        <v>0</v>
      </c>
      <c r="AY60" s="185">
        <f>k.cwCS.w0CS</f>
        <v>8.9563387522417847E-8</v>
      </c>
      <c r="AZ60" s="185">
        <v>0</v>
      </c>
      <c r="BA60" s="184">
        <v>0</v>
      </c>
      <c r="BB60" s="370">
        <v>0</v>
      </c>
      <c r="BC60" s="419">
        <f>-k.w0CS-SUM(BC$9:BC59,BC61:BC$163)</f>
        <v>-0.29625323222718569</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1.339417947076417E-7</v>
      </c>
      <c r="AX61" s="184">
        <v>0</v>
      </c>
      <c r="AY61" s="185">
        <v>0</v>
      </c>
      <c r="AZ61" s="185">
        <f>k.cwCA.w0CA</f>
        <v>8.9563387522417847E-8</v>
      </c>
      <c r="BA61" s="184">
        <v>0</v>
      </c>
      <c r="BB61" s="370">
        <v>0</v>
      </c>
      <c r="BC61" s="185">
        <f>k.w0CS.w0CA</f>
        <v>0.29623197285101754</v>
      </c>
      <c r="BD61" s="419">
        <f>-k.w0CA-SUM(BD$9:BD60,BD62:BD$163)</f>
        <v>-4.1360368337508523E-6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1.7123341981656875E-5</v>
      </c>
      <c r="BD62" s="362">
        <v>0</v>
      </c>
      <c r="BE62" s="419">
        <f>-k.w0CP-SUM(BE$9:BE61,BE63:BE$163)</f>
        <v>-4.168943740295273E-6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-1.5202159093257674E-7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1.4733597324146419E-6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-1.0410892938188137</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1.4733597417840585E-6</v>
      </c>
      <c r="AX65" s="184">
        <v>0</v>
      </c>
      <c r="AY65" s="185">
        <v>0</v>
      </c>
      <c r="AZ65" s="185">
        <f>k.cwCA.w1CA</f>
        <v>9.8519726274659594E-7</v>
      </c>
      <c r="BA65" s="184">
        <v>0</v>
      </c>
      <c r="BB65" s="185">
        <v>0</v>
      </c>
      <c r="BC65" s="185">
        <v>0</v>
      </c>
      <c r="BD65" s="185">
        <f>k.w0C.w1C</f>
        <v>2.3972602739726029E-9</v>
      </c>
      <c r="BE65" s="185">
        <v>0</v>
      </c>
      <c r="BF65" s="370">
        <v>0</v>
      </c>
      <c r="BG65" s="185">
        <f>k.w1CS.w1CA</f>
        <v>1.0389013507541767</v>
      </c>
      <c r="BH65" s="189">
        <f>-k.w1CA-SUM(BH$9:BH64,BH66:BH$163)</f>
        <v>-1.3698439669995575E-4</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2.0509587561811523E-3</v>
      </c>
      <c r="BH66" s="362">
        <v>0</v>
      </c>
      <c r="BI66" s="189">
        <f>-k.w1CP-SUM(BI$9:BI65,BI67:BI$163)</f>
        <v>-1.3808129358476974E-4</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-8.5396272928124586E-8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5.4253721177386923E-5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-0.36396729992925103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5.4253721540268774E-5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0.36374737084221381</v>
      </c>
      <c r="BL69" s="189">
        <f>-k.w2CA-SUM(BL$9:BL68,BL70:BL$163)</f>
        <v>-2.1120777342524963E-6</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2.1781701062661258E-4</v>
      </c>
      <c r="BL70" s="362">
        <v>0</v>
      </c>
      <c r="BM70" s="189">
        <f>-k.w2CP-SUM(BM$9:BM69,BM71:BM$163)</f>
        <v>-2.1285311875247062E-6</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4.1065369261477055E-6</v>
      </c>
      <c r="BD72" s="185">
        <v>0</v>
      </c>
      <c r="BE72" s="185">
        <v>0</v>
      </c>
      <c r="BF72" s="185">
        <v>0</v>
      </c>
      <c r="BG72" s="185">
        <v>0</v>
      </c>
      <c r="BH72" s="185">
        <v>0</v>
      </c>
      <c r="BI72" s="185">
        <v>0</v>
      </c>
      <c r="BJ72" s="185">
        <v>0</v>
      </c>
      <c r="BK72" s="185">
        <v>0</v>
      </c>
      <c r="BL72" s="185">
        <v>0</v>
      </c>
      <c r="BM72" s="184">
        <v>0</v>
      </c>
      <c r="BN72" s="370">
        <v>0</v>
      </c>
      <c r="BO72" s="189">
        <f>-k.sd0CS-SUM(BO$9:BO71,BO73:BO$163)</f>
        <v>-0.58033816577108199</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4.1065395734768794E-6</v>
      </c>
      <c r="BE73" s="185">
        <v>0</v>
      </c>
      <c r="BF73" s="185">
        <v>0</v>
      </c>
      <c r="BG73" s="185">
        <v>0</v>
      </c>
      <c r="BH73" s="185">
        <v>0</v>
      </c>
      <c r="BI73" s="185">
        <v>0</v>
      </c>
      <c r="BJ73" s="185">
        <v>0</v>
      </c>
      <c r="BK73" s="185">
        <v>0</v>
      </c>
      <c r="BL73" s="185">
        <v>0</v>
      </c>
      <c r="BM73" s="184">
        <v>0</v>
      </c>
      <c r="BN73" s="370">
        <v>0</v>
      </c>
      <c r="BO73" s="185">
        <f>k.sd0CS.sd0CA</f>
        <v>0.57746052392621372</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4.1394464800213001E-6</v>
      </c>
      <c r="BF74" s="185">
        <v>0</v>
      </c>
      <c r="BG74" s="185">
        <v>0</v>
      </c>
      <c r="BH74" s="185">
        <v>0</v>
      </c>
      <c r="BI74" s="185">
        <v>0</v>
      </c>
      <c r="BJ74" s="185">
        <v>0</v>
      </c>
      <c r="BK74" s="185">
        <v>0</v>
      </c>
      <c r="BL74" s="185">
        <v>0</v>
      </c>
      <c r="BM74" s="184">
        <v>0</v>
      </c>
      <c r="BN74" s="366">
        <v>0</v>
      </c>
      <c r="BO74" s="362">
        <f>k.sd0CS.sd0CP</f>
        <v>2.8776119406398494E-3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-6.5213948806121164E-8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1.3688456420492352E-4</v>
      </c>
      <c r="BH76" s="185">
        <v>0</v>
      </c>
      <c r="BI76" s="185">
        <v>0</v>
      </c>
      <c r="BJ76" s="190">
        <v>0</v>
      </c>
      <c r="BK76" s="190">
        <v>0</v>
      </c>
      <c r="BL76" s="190">
        <v>0</v>
      </c>
      <c r="BM76" s="185">
        <v>0</v>
      </c>
      <c r="BN76" s="185">
        <v>0</v>
      </c>
      <c r="BO76" s="185">
        <v>0</v>
      </c>
      <c r="BP76" s="185">
        <v>0</v>
      </c>
      <c r="BQ76" s="185">
        <v>0</v>
      </c>
      <c r="BR76" s="381">
        <v>0</v>
      </c>
      <c r="BS76" s="189">
        <f>-k.sd1CS-SUM(BS$9:BS75,BS77:BS$163)</f>
        <v>-0.58033819230727279</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1.3688465244922931E-4</v>
      </c>
      <c r="BI77" s="185">
        <v>0</v>
      </c>
      <c r="BJ77" s="190">
        <v>0</v>
      </c>
      <c r="BK77" s="190">
        <v>0</v>
      </c>
      <c r="BL77" s="190">
        <v>0</v>
      </c>
      <c r="BM77" s="190">
        <v>0</v>
      </c>
      <c r="BN77" s="190">
        <v>0</v>
      </c>
      <c r="BO77" s="190">
        <v>0</v>
      </c>
      <c r="BP77" s="190">
        <v>0</v>
      </c>
      <c r="BQ77" s="190">
        <v>0</v>
      </c>
      <c r="BR77" s="381">
        <v>0</v>
      </c>
      <c r="BS77" s="185">
        <f>k.sd1CS.sd1CA</f>
        <v>0.57746052392621372</v>
      </c>
      <c r="BT77" s="189">
        <f>-k.sd1CA-SUM(BT$9:BT76,BT78:BT$163)</f>
        <v>-5.6440419161676665E-8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1.3798154933404331E-4</v>
      </c>
      <c r="BJ78" s="190">
        <v>0</v>
      </c>
      <c r="BK78" s="190">
        <v>0</v>
      </c>
      <c r="BL78" s="190">
        <v>0</v>
      </c>
      <c r="BM78" s="190">
        <v>0</v>
      </c>
      <c r="BN78" s="190">
        <v>0</v>
      </c>
      <c r="BO78" s="190">
        <v>0</v>
      </c>
      <c r="BP78" s="190">
        <v>0</v>
      </c>
      <c r="BQ78" s="190">
        <v>0</v>
      </c>
      <c r="BR78" s="361">
        <v>0</v>
      </c>
      <c r="BS78" s="362">
        <f>k.sd1CS.sd1CP</f>
        <v>2.8776119406398494E-3</v>
      </c>
      <c r="BT78" s="362">
        <v>0</v>
      </c>
      <c r="BU78" s="189">
        <f>-k.sd1CP-SUM(BU$9:BU77,BU79:BU$163)</f>
        <v>-5.6440419161676665E-8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-4.560700269833673E-8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2.0532684630738527E-6</v>
      </c>
      <c r="BL80" s="185">
        <v>0</v>
      </c>
      <c r="BM80" s="185">
        <v>0</v>
      </c>
      <c r="BN80" s="185">
        <v>0</v>
      </c>
      <c r="BO80" s="185">
        <v>0</v>
      </c>
      <c r="BP80" s="185">
        <v>0</v>
      </c>
      <c r="BQ80" s="185">
        <v>0</v>
      </c>
      <c r="BR80" s="190">
        <v>0</v>
      </c>
      <c r="BS80" s="190">
        <v>0</v>
      </c>
      <c r="BT80" s="190">
        <v>0</v>
      </c>
      <c r="BU80" s="185">
        <v>0</v>
      </c>
      <c r="BV80" s="381">
        <v>0</v>
      </c>
      <c r="BW80" s="189">
        <f>-k.sd2CS-SUM(BW$9:BW79,BW81:BW$163)</f>
        <v>-0.58033817270032662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2.0532697867384397E-6</v>
      </c>
      <c r="BM81" s="185">
        <v>0</v>
      </c>
      <c r="BN81" s="185">
        <v>0</v>
      </c>
      <c r="BO81" s="185">
        <v>0</v>
      </c>
      <c r="BP81" s="185">
        <v>0</v>
      </c>
      <c r="BQ81" s="185">
        <v>0</v>
      </c>
      <c r="BR81" s="190">
        <v>0</v>
      </c>
      <c r="BS81" s="190">
        <v>0</v>
      </c>
      <c r="BT81" s="190">
        <v>0</v>
      </c>
      <c r="BU81" s="190">
        <v>0</v>
      </c>
      <c r="BV81" s="381">
        <v>0</v>
      </c>
      <c r="BW81" s="185">
        <f>k.sd2CS.sd2CA</f>
        <v>0.57746052392621372</v>
      </c>
      <c r="BX81" s="189">
        <f>-k.sd2CA-SUM(BX$9:BX80,BX82:BX$163)</f>
        <v>-3.6833473053892225E-8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2.0697232400106496E-6</v>
      </c>
      <c r="BN82" s="185">
        <v>0</v>
      </c>
      <c r="BO82" s="185">
        <v>0</v>
      </c>
      <c r="BP82" s="185">
        <v>0</v>
      </c>
      <c r="BQ82" s="185">
        <v>0</v>
      </c>
      <c r="BR82" s="190">
        <v>0</v>
      </c>
      <c r="BS82" s="190">
        <v>0</v>
      </c>
      <c r="BT82" s="190">
        <v>0</v>
      </c>
      <c r="BU82" s="190">
        <v>0</v>
      </c>
      <c r="BV82" s="361">
        <v>0</v>
      </c>
      <c r="BW82" s="362">
        <f>k.sd2CS.sd2CP</f>
        <v>2.8776119406398494E-3</v>
      </c>
      <c r="BX82" s="362">
        <v>0</v>
      </c>
      <c r="BY82" s="189">
        <f>-k.sd2CP-SUM(BY$9:BY81,BY83:BY$163)</f>
        <v>-3.6833473053892225E-8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1.4470187970254474E-5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-28.890292480166838</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1.4470188062228668E-5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28.87302619631069</v>
      </c>
      <c r="CB85" s="189">
        <f>-k.s1CA-SUM(CB$9:CB84,CB86:CB$163)</f>
        <v>-1.6903223351680569E-7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1.7266114823914148E-2</v>
      </c>
      <c r="CB86" s="362">
        <v>0</v>
      </c>
      <c r="CC86" s="189">
        <f>-k.s1CP-SUM(CC$9:CC85,CC87:CC$163)</f>
        <v>-2.7054177074605566E-8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-4.824586770599474E-9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3.2155973267232161E-5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-28.890292402779423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3.2155973471619259E-5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28.87302619631069</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-2.7041001880163146E-8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5.3593288778720256E-6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-28.890292480166838</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5.3593289119365415E-6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28.87302619631069</v>
      </c>
      <c r="CJ93" s="189">
        <f>-k.s3CA-SUM(CJ$9:CJ92,CJ94:CJ$163)</f>
        <v>-1.6903223351680569E-7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-2.7054177074605566E-8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-1.4358878045540339E-2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-3.4056444738933816E-4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1.3987750287120771E-9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2.3146552716305082E-4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2.3146552763531668E-4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5.2591297781056065E-5</v>
      </c>
      <c r="CN103" s="185">
        <v>0</v>
      </c>
      <c r="CO103" s="185">
        <v>0</v>
      </c>
      <c r="CP103" s="185">
        <f>k.cwMS.w2MS</f>
        <v>3.699476841282254E-5</v>
      </c>
      <c r="CQ103" s="185">
        <v>0</v>
      </c>
      <c r="CR103" s="185">
        <v>0</v>
      </c>
      <c r="CS103" s="381">
        <v>0</v>
      </c>
      <c r="CT103" s="189">
        <f>-k.w2MS-SUM(CT$9:CT102,CT104:CT$163)</f>
        <v>-0.36396961534417721</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5.2591298132818622E-5</v>
      </c>
      <c r="CO104" s="185">
        <v>0</v>
      </c>
      <c r="CP104" s="185">
        <v>0</v>
      </c>
      <c r="CQ104" s="185">
        <f>k.cwMA.w2MA</f>
        <v>3.699476841282254E-5</v>
      </c>
      <c r="CR104" s="185">
        <v>0</v>
      </c>
      <c r="CS104" s="381">
        <v>0</v>
      </c>
      <c r="CT104" s="185">
        <f>k.w2MS.w2MA</f>
        <v>0.36374737084221381</v>
      </c>
      <c r="CU104" s="189">
        <f>-k.w2MA-SUM(CU$9:CU103,CU105:CU$163)</f>
        <v>-4.4274939840822466E-6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2.1781701062661258E-4</v>
      </c>
      <c r="CU105" s="362">
        <v>0</v>
      </c>
      <c r="CV105" s="189">
        <f>-k.w2MP-SUM(CV$9:CV104,CV106:CV$163)</f>
        <v>-4.4604008906266665E-6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-6.3054180905096018E-8</v>
      </c>
      <c r="CX106" s="379">
        <f>kdis.w3S.w3D</f>
        <v>0</v>
      </c>
      <c r="CY106" s="379">
        <f>kdis.w3A.w3D</f>
        <v>0</v>
      </c>
      <c r="CZ106" s="379">
        <f>kdis.w3P.w3D</f>
        <v>0</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4.355648793662825E-6</v>
      </c>
      <c r="CU107" s="184">
        <v>0</v>
      </c>
      <c r="CV107" s="185">
        <v>0</v>
      </c>
      <c r="CW107" s="381">
        <v>0</v>
      </c>
      <c r="CX107" s="189">
        <f>-k.w3MS-SUM(CX$9:CX106,CX108:CX$163)</f>
        <v>-0.36396536143027214</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4.3556514409919989E-6</v>
      </c>
      <c r="CV108" s="184">
        <v>0</v>
      </c>
      <c r="CW108" s="381">
        <v>0</v>
      </c>
      <c r="CX108" s="185">
        <f>k.w3MS.w3MA</f>
        <v>0.36374737084221381</v>
      </c>
      <c r="CY108" s="189">
        <f>-k.w3MA-SUM(CY$9:CY107,CY109:CY$163)</f>
        <v>-1.7357751993564696E-7</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4.3885583475364188E-6</v>
      </c>
      <c r="CW109" s="361">
        <v>0</v>
      </c>
      <c r="CX109" s="362">
        <f>k.w3MS.w3MP</f>
        <v>2.1781701062661258E-4</v>
      </c>
      <c r="CY109" s="362">
        <v>0</v>
      </c>
      <c r="CZ109" s="189">
        <f>-k.w3MP-SUM(CZ$9:CZ108,CZ110:CZ$163)</f>
        <v>-1.7467441682046096E-7</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-4.560700269833673E-8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1.3688456420492351E-7</v>
      </c>
      <c r="CY111" s="190">
        <v>0</v>
      </c>
      <c r="CZ111" s="185">
        <v>0</v>
      </c>
      <c r="DA111" s="381">
        <v>0</v>
      </c>
      <c r="DB111" s="189">
        <f>-k.sdMS-SUM(DB$9:DB110,DB112:DB$163)</f>
        <v>-0.58033817270032662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1.368846524492293E-7</v>
      </c>
      <c r="CZ112" s="190">
        <v>0</v>
      </c>
      <c r="DA112" s="381">
        <v>0</v>
      </c>
      <c r="DB112" s="185">
        <f>k.sdMS.sdMA</f>
        <v>0.57746052392621372</v>
      </c>
      <c r="DC112" s="189">
        <f>-k.sdMA-SUM(DC$9:DC111,DC113:DC$163)</f>
        <v>-3.6833473053892218E-8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1.379815493340433E-7</v>
      </c>
      <c r="DA113" s="361">
        <v>0</v>
      </c>
      <c r="DB113" s="362">
        <f>k.sdMS.sdMP</f>
        <v>2.8776119406398494E-3</v>
      </c>
      <c r="DC113" s="362">
        <v>0</v>
      </c>
      <c r="DD113" s="189">
        <f>-k.sdMP-SUM(DD$9:DD112,DD114:DD$163)</f>
        <v>-3.6833473053892218E-8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5.5342684150764503E-5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-28.890292480166838</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5.5342684502529019E-5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28.87302619631069</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-2.7054177074605566E-8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-8.7087464988086234E-6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-1.316451651915E-2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-2.2751836532215598E-4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1.2908872041130547E-9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1.1944436261820212E-4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1.1944436287358305E-4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4.8096229924074475E-6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6.3107899968617171E-5</v>
      </c>
      <c r="DK126" s="185">
        <v>0</v>
      </c>
      <c r="DL126" s="185">
        <v>0</v>
      </c>
      <c r="DM126" s="185">
        <f>k.cwAS.w2AS</f>
        <v>1.5854900748352518E-5</v>
      </c>
      <c r="DN126" s="185">
        <v>0</v>
      </c>
      <c r="DO126" s="185">
        <v>0</v>
      </c>
      <c r="DP126" s="381">
        <v>0</v>
      </c>
      <c r="DQ126" s="189">
        <f>-k.w2AS-SUM(DQ$9:DQ125,DQ127:DQ$163)</f>
        <v>-0.36395753448820251</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6.3107900390743399E-5</v>
      </c>
      <c r="DL127" s="185">
        <v>0</v>
      </c>
      <c r="DM127" s="185">
        <v>0</v>
      </c>
      <c r="DN127" s="185">
        <f>k.cwAA.w2AA</f>
        <v>1.5854900748352518E-5</v>
      </c>
      <c r="DO127" s="185">
        <v>0</v>
      </c>
      <c r="DP127" s="381">
        <v>0</v>
      </c>
      <c r="DQ127" s="185">
        <f>k.w2AS.w2AA</f>
        <v>0.36373531495298622</v>
      </c>
      <c r="DR127" s="189">
        <f>-k.w2AA-SUM(DR$9:DR126,DR128:DR$163)</f>
        <v>-4.4029008133263534E-6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2.1781663705029104E-4</v>
      </c>
      <c r="DR128" s="362">
        <v>0</v>
      </c>
      <c r="DS128" s="189">
        <f>-k.w2AP-SUM(DS$9:DS127,DS129:DS$163)</f>
        <v>-4.4358077198707741E-6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-2.2584039220332415E-8</v>
      </c>
      <c r="DU129" s="379">
        <f>kdis.w3S.w3D</f>
        <v>0</v>
      </c>
      <c r="DV129" s="379">
        <f>kdis.w3A.w3D</f>
        <v>0</v>
      </c>
      <c r="DW129" s="379">
        <f>kdis.w3P.w3D</f>
        <v>0</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4.3757981659971794E-6</v>
      </c>
      <c r="DR130" s="184">
        <v>0</v>
      </c>
      <c r="DS130" s="185">
        <v>0</v>
      </c>
      <c r="DT130" s="381">
        <v>0</v>
      </c>
      <c r="DU130" s="189">
        <f>-k.w3AS-SUM(DU$9:DU129,DU131:DU$163)</f>
        <v>-0.36395330651075969</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4.3758008133263533E-6</v>
      </c>
      <c r="DS131" s="185">
        <v>0</v>
      </c>
      <c r="DT131" s="381">
        <v>0</v>
      </c>
      <c r="DU131" s="185">
        <f>k.w3AS.w3AA</f>
        <v>0.36373531495298622</v>
      </c>
      <c r="DV131" s="189">
        <f>-k.w3AA-SUM(DV$9:DV130,DV132:DV$163)</f>
        <v>-1.7492081142460397E-7</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4.408707719870774E-6</v>
      </c>
      <c r="DT132" s="361">
        <v>0</v>
      </c>
      <c r="DU132" s="362">
        <f>k.w3AS.w3AP</f>
        <v>2.1781663705029104E-4</v>
      </c>
      <c r="DV132" s="362">
        <v>0</v>
      </c>
      <c r="DW132" s="189">
        <f>-k.w3AP-SUM(DW$9:DW131,DW133:DW$163)</f>
        <v>-1.7601770830941799E-7</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-4.53977850041087E-8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1.3688456420492348E-7</v>
      </c>
      <c r="DV134" s="185">
        <v>0</v>
      </c>
      <c r="DW134" s="185">
        <v>0</v>
      </c>
      <c r="DX134" s="381">
        <v>0</v>
      </c>
      <c r="DY134" s="189">
        <f>-k.sdAS-SUM(DY$9:DY133,DY135:DY$163)</f>
        <v>-0.58032633020672275</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1.368846524492293E-7</v>
      </c>
      <c r="DW135" s="185">
        <v>0</v>
      </c>
      <c r="DX135" s="381">
        <v>0</v>
      </c>
      <c r="DY135" s="185">
        <f>k.sdAS.sdAA</f>
        <v>0.57743641214775843</v>
      </c>
      <c r="DZ135" s="189">
        <f>-k.sdAA-SUM(DZ$9:DZ134,DZ136:DZ$163)</f>
        <v>-3.6833473053892218E-8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1.3798154933404333E-7</v>
      </c>
      <c r="DX136" s="361">
        <v>0</v>
      </c>
      <c r="DY136" s="362">
        <f>k.sdAS.sdAP</f>
        <v>2.8898812254912259E-3</v>
      </c>
      <c r="DZ136" s="362">
        <v>0</v>
      </c>
      <c r="EA136" s="189">
        <f>-k.sdAP-SUM(EA$9:EA135,EA137:EA$163)</f>
        <v>-3.6833473053892218E-8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3.206415328269387E-6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4.427339359828555E-5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-28.889160392724882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4.427339387970211E-5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28.871820607387928</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1.7339707579639711E-2</v>
      </c>
      <c r="ED140" s="362">
        <v>0</v>
      </c>
      <c r="EE140" s="189">
        <f>-k.sAP-SUM(EE$9:EE139,EE141:EE$163)</f>
        <v>-2.7054177074605566E-8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-1.5110552199509896E-2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-4.5332593495957501E-4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1.4625218272019049E-9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3.4609124129254956E-4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3.4609124197692936E-4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7.3628724684464761E-5</v>
      </c>
      <c r="EH149" s="185">
        <v>0</v>
      </c>
      <c r="EI149" s="185">
        <v>0</v>
      </c>
      <c r="EJ149" s="185">
        <f>k.cwTS.w2TS</f>
        <v>9.6186397873338595E-5</v>
      </c>
      <c r="EK149" s="185">
        <v>0</v>
      </c>
      <c r="EL149" s="185">
        <v>0</v>
      </c>
      <c r="EM149" s="381">
        <v>0</v>
      </c>
      <c r="EN149" s="189">
        <f>-k.w2TS-SUM(EN$9:EN148,EN150:EN$163)</f>
        <v>-0.36397668969621566</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7.3628725176926043E-5</v>
      </c>
      <c r="EI150" s="185">
        <v>0</v>
      </c>
      <c r="EJ150" s="185">
        <v>0</v>
      </c>
      <c r="EK150" s="185">
        <f>k.cwTA.w2TA</f>
        <v>9.6186397873338595E-5</v>
      </c>
      <c r="EL150" s="185">
        <v>0</v>
      </c>
      <c r="EM150" s="381">
        <v>0</v>
      </c>
      <c r="EN150" s="185">
        <f>k.w2TS.w2TA</f>
        <v>0.36375449477675742</v>
      </c>
      <c r="EO150" s="189">
        <f>-k.w2TA-SUM(EO$9:EO149,EO151:EO$163)</f>
        <v>-4.3776907292927415E-6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2.1781723137625713E-4</v>
      </c>
      <c r="EO151" s="362">
        <v>0</v>
      </c>
      <c r="EP151" s="189">
        <f>-k.w2TP-SUM(EP$9:EP150,EP152:EP$163)</f>
        <v>-4.4105976358371622E-6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-1.3918829790679285E-7</v>
      </c>
      <c r="ER152" s="379">
        <f>kdis.w3S.w3D</f>
        <v>0</v>
      </c>
      <c r="ES152" s="379">
        <f>kdis.w3A.w3D</f>
        <v>0</v>
      </c>
      <c r="ET152" s="379">
        <f>kdis.w3P.w3D</f>
        <v>0</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4.3337813592744909E-6</v>
      </c>
      <c r="EO153" s="185">
        <v>0</v>
      </c>
      <c r="EP153" s="185">
        <v>0</v>
      </c>
      <c r="EQ153" s="381">
        <v>0</v>
      </c>
      <c r="ER153" s="189">
        <f>-k.w3TS-SUM(ER$9:ER152,ER154:ER$163)</f>
        <v>-0.36397248356751233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4.3337840066036657E-6</v>
      </c>
      <c r="EP154" s="185">
        <v>0</v>
      </c>
      <c r="EQ154" s="381">
        <v>0</v>
      </c>
      <c r="ER154" s="185">
        <f>k.w3TS.w3TA</f>
        <v>0.36375449477675742</v>
      </c>
      <c r="ES154" s="189">
        <f>-k.w3TA-SUM(ES$9:ES153,ES155:ES$163)</f>
        <v>-1.7155946688678884E-7</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4.3666909131480864E-6</v>
      </c>
      <c r="EQ155" s="361">
        <v>0</v>
      </c>
      <c r="ER155" s="362">
        <f>k.w3TS.w3TP</f>
        <v>2.1781723137625713E-4</v>
      </c>
      <c r="ES155" s="362">
        <v>0</v>
      </c>
      <c r="ET155" s="189">
        <f>-k.w3TP-SUM(ET$9:ET154,ET156:ET$163)</f>
        <v>-1.7265636377160289E-7</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-4.5998044896401687E-8</v>
      </c>
      <c r="EV156" s="379">
        <f>kdis.sd2S.sd2D</f>
        <v>0</v>
      </c>
      <c r="EW156" s="379">
        <f>kdis.sd2A.sd2D</f>
        <v>0</v>
      </c>
      <c r="EX156" s="379">
        <f>kdis.sd2P.sd2D</f>
        <v>0</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1.3688456420492351E-7</v>
      </c>
      <c r="ES157" s="185">
        <v>0</v>
      </c>
      <c r="ET157" s="185">
        <v>0</v>
      </c>
      <c r="EU157" s="381">
        <v>0</v>
      </c>
      <c r="EV157" s="189">
        <f>-k.sdTS-SUM(EV$9:EV156,EV158:EV$163)</f>
        <v>-0.5803456309419105</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1.368846524492293E-7</v>
      </c>
      <c r="ET158" s="185">
        <v>0</v>
      </c>
      <c r="EU158" s="381">
        <v>0</v>
      </c>
      <c r="EV158" s="185">
        <f>k.sdTS.sdTA</f>
        <v>0.57747477179530093</v>
      </c>
      <c r="EW158" s="189">
        <f>-k.sdTA-SUM(EW$9:EW157,EW159:EW$163)</f>
        <v>-3.6832627459439319E-8</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1.3798154933404335E-7</v>
      </c>
      <c r="EU159" s="361">
        <v>0</v>
      </c>
      <c r="EV159" s="362">
        <f>k.sdTS.sdTP</f>
        <v>2.8708223139820217E-3</v>
      </c>
      <c r="EW159" s="362">
        <v>0</v>
      </c>
      <c r="EX159" s="189">
        <f>-k.sdTP-SUM(EX$9:EX158,EX160:EX$163)</f>
        <v>-3.6832627459439319E-8</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3.3205877514015598E-5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-28.890964270842506</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3.3205877725072492E-5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28.87373858976505</v>
      </c>
      <c r="FA162" s="189">
        <f>-k.sTA-SUM(FA$9:FA161,FA163)</f>
        <v>-2.9073212578104759E-7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1.7225390345332336E-2</v>
      </c>
      <c r="FA163" s="182">
        <v>0</v>
      </c>
      <c r="FB163" s="400">
        <f>-k.sTP-SUM(FB$9:FB162)</f>
        <v>-2.7054177074605566E-8</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219778487.95633388</v>
      </c>
      <c r="D168" s="185">
        <f t="array" ref="D168:FB168">TRANSPOSE(MMULT(MINVERSE(D9:FB163),-TRANSPOSE(D5:FB5)))</f>
        <v>0</v>
      </c>
      <c r="E168" s="185">
        <v>150.11480514607328</v>
      </c>
      <c r="F168" s="185">
        <v>5986.1429444368614</v>
      </c>
      <c r="G168" s="185">
        <v>2.48867637245586E-3</v>
      </c>
      <c r="H168" s="185">
        <v>469.61238478945353</v>
      </c>
      <c r="I168" s="185">
        <v>18726.779592644296</v>
      </c>
      <c r="J168" s="185">
        <v>2.4886756258529477E-3</v>
      </c>
      <c r="K168" s="185">
        <v>0</v>
      </c>
      <c r="L168" s="185">
        <v>4.3149937884653559E-4</v>
      </c>
      <c r="M168" s="185">
        <v>62384.518440282482</v>
      </c>
      <c r="N168" s="185">
        <v>1.2721707200831824E-2</v>
      </c>
      <c r="O168" s="185">
        <v>0</v>
      </c>
      <c r="P168" s="185">
        <v>2.0733426836207252</v>
      </c>
      <c r="Q168" s="185">
        <v>68675.17882412285</v>
      </c>
      <c r="R168" s="185">
        <v>58.061039714687219</v>
      </c>
      <c r="S168" s="185">
        <v>0</v>
      </c>
      <c r="T168" s="185">
        <v>6.0516127228952643E-4</v>
      </c>
      <c r="U168" s="185">
        <v>429.70049572162725</v>
      </c>
      <c r="V168" s="185">
        <v>0.13262984318701315</v>
      </c>
      <c r="W168" s="185">
        <v>0</v>
      </c>
      <c r="X168" s="185">
        <v>3.0533372390288621E-9</v>
      </c>
      <c r="Y168" s="185">
        <v>8560780.0484074503</v>
      </c>
      <c r="Z168" s="185">
        <v>1.7600322228551442</v>
      </c>
      <c r="AA168" s="185">
        <v>0</v>
      </c>
      <c r="AB168" s="185">
        <v>4.8904003468484608E-4</v>
      </c>
      <c r="AC168" s="185">
        <v>166562554.39234248</v>
      </c>
      <c r="AD168" s="185">
        <v>141968.46164923464</v>
      </c>
      <c r="AE168" s="185">
        <v>0</v>
      </c>
      <c r="AF168" s="185">
        <v>4.2821879170349253E-8</v>
      </c>
      <c r="AG168" s="185">
        <v>479070.91482688946</v>
      </c>
      <c r="AH168" s="185">
        <v>149.05639204808153</v>
      </c>
      <c r="AI168" s="185">
        <v>0</v>
      </c>
      <c r="AJ168" s="185">
        <v>4.7792211835920501E-4</v>
      </c>
      <c r="AK168" s="185">
        <v>3338975.6908420925</v>
      </c>
      <c r="AL168" s="185">
        <v>306.8667477600489</v>
      </c>
      <c r="AM168" s="185">
        <v>0</v>
      </c>
      <c r="AN168" s="185">
        <v>7.5728261469414443E-2</v>
      </c>
      <c r="AO168" s="185">
        <v>37209410.037494227</v>
      </c>
      <c r="AP168" s="185">
        <v>48357.836398332314</v>
      </c>
      <c r="AQ168" s="185">
        <v>0</v>
      </c>
      <c r="AR168" s="185">
        <v>1.7700819198489075E-4</v>
      </c>
      <c r="AS168" s="185">
        <v>1236657.6632748491</v>
      </c>
      <c r="AT168" s="185">
        <v>113.65435102224029</v>
      </c>
      <c r="AU168" s="185">
        <v>0</v>
      </c>
      <c r="AV168" s="185">
        <v>9.8479876268562208E-2</v>
      </c>
      <c r="AW168" s="185">
        <v>169.41891060478875</v>
      </c>
      <c r="AX168" s="185">
        <v>3.0757168279538759E-4</v>
      </c>
      <c r="AY168" s="185">
        <v>0.30807999959737592</v>
      </c>
      <c r="AZ168" s="185">
        <v>530.00247355172007</v>
      </c>
      <c r="BA168" s="185">
        <v>3.0757159052388275E-4</v>
      </c>
      <c r="BB168" s="185">
        <v>0</v>
      </c>
      <c r="BC168" s="185">
        <v>1.3766352400492439E-7</v>
      </c>
      <c r="BD168" s="185">
        <v>429.43884964301344</v>
      </c>
      <c r="BE168" s="185">
        <v>7.5027770397774304E-6</v>
      </c>
      <c r="BF168" s="185">
        <v>0</v>
      </c>
      <c r="BG168" s="185">
        <v>4.3091011155808419E-7</v>
      </c>
      <c r="BH168" s="185">
        <v>269.03407083326772</v>
      </c>
      <c r="BI168" s="185">
        <v>1.6420037514637097E-5</v>
      </c>
      <c r="BJ168" s="185">
        <v>0</v>
      </c>
      <c r="BK168" s="185">
        <v>4.6985951443695522E-5</v>
      </c>
      <c r="BL168" s="185">
        <v>18586.546576703688</v>
      </c>
      <c r="BM168" s="185">
        <v>0.12512239150474094</v>
      </c>
      <c r="BN168" s="185">
        <v>0</v>
      </c>
      <c r="BO168" s="185">
        <v>9.7412229291987902E-13</v>
      </c>
      <c r="BP168" s="185">
        <v>58971.848653207271</v>
      </c>
      <c r="BQ168" s="185">
        <v>1.0386540238793401E-3</v>
      </c>
      <c r="BR168" s="185">
        <v>0</v>
      </c>
      <c r="BS168" s="185">
        <v>1.0163891264439212E-10</v>
      </c>
      <c r="BT168" s="185">
        <v>652486.92140669154</v>
      </c>
      <c r="BU168" s="185">
        <v>4.0147729719200866E-2</v>
      </c>
      <c r="BV168" s="185">
        <v>0</v>
      </c>
      <c r="BW168" s="185">
        <v>1.662388876781276E-10</v>
      </c>
      <c r="BX168" s="185">
        <v>1036100.9010991465</v>
      </c>
      <c r="BY168" s="185">
        <v>7.0308113366115519</v>
      </c>
      <c r="BZ168" s="185">
        <v>0</v>
      </c>
      <c r="CA168" s="185">
        <v>1.5247449191582015E-7</v>
      </c>
      <c r="CB168" s="185">
        <v>44858.651915419236</v>
      </c>
      <c r="CC168" s="185">
        <v>0.20876422582193607</v>
      </c>
      <c r="CD168" s="185">
        <v>0</v>
      </c>
      <c r="CE168" s="185">
        <v>3.3883220516499612E-7</v>
      </c>
      <c r="CF168" s="185">
        <v>183863.41811354781</v>
      </c>
      <c r="CG168" s="185">
        <v>0.46414653851390453</v>
      </c>
      <c r="CH168" s="185">
        <v>0</v>
      </c>
      <c r="CI168" s="185">
        <v>5.6472034042896331E-8</v>
      </c>
      <c r="CJ168" s="185">
        <v>16614.315524229343</v>
      </c>
      <c r="CK168" s="185">
        <v>7.7320083637754083E-2</v>
      </c>
      <c r="CL168" s="185">
        <v>0</v>
      </c>
      <c r="CM168" s="185">
        <v>9.4769325304906869E-6</v>
      </c>
      <c r="CN168" s="185">
        <v>0.68778385436925638</v>
      </c>
      <c r="CO168" s="185">
        <v>5.5817381165440036E-6</v>
      </c>
      <c r="CP168" s="185">
        <v>2.9647207945467051E-5</v>
      </c>
      <c r="CQ168" s="185">
        <v>2.151631968257611</v>
      </c>
      <c r="CR168" s="185">
        <v>5.5817364420225702E-6</v>
      </c>
      <c r="CS168" s="185">
        <v>0</v>
      </c>
      <c r="CT168" s="185">
        <v>4.386862972911414E-9</v>
      </c>
      <c r="CU168" s="185">
        <v>192.85366702481204</v>
      </c>
      <c r="CV168" s="185">
        <v>9.9512037192462689E-4</v>
      </c>
      <c r="CW168" s="185">
        <v>0</v>
      </c>
      <c r="CX168" s="185">
        <v>5.2498496947185014E-14</v>
      </c>
      <c r="CY168" s="185">
        <v>6125.2864262014591</v>
      </c>
      <c r="CZ168" s="185">
        <v>3.165924472544912E-2</v>
      </c>
      <c r="DA168" s="185">
        <v>0</v>
      </c>
      <c r="DB168" s="185">
        <v>1.2382838513949924E-20</v>
      </c>
      <c r="DC168" s="185">
        <v>22763.471214777779</v>
      </c>
      <c r="DD168" s="185">
        <v>0.11859841811744476</v>
      </c>
      <c r="DE168" s="185">
        <v>0</v>
      </c>
      <c r="DF168" s="185">
        <v>5.6118174535456798E-11</v>
      </c>
      <c r="DG168" s="185">
        <v>696.10718078473394</v>
      </c>
      <c r="DH168" s="185">
        <v>7.7716228135493223E-3</v>
      </c>
      <c r="DI168" s="185">
        <v>0</v>
      </c>
      <c r="DJ168" s="185">
        <v>2.7306874395933111E-10</v>
      </c>
      <c r="DK168" s="185">
        <v>1.1467018582322979E-3</v>
      </c>
      <c r="DL168" s="185">
        <v>7.5301113808238249E-8</v>
      </c>
      <c r="DM168" s="185">
        <v>1.2343131978255182E-9</v>
      </c>
      <c r="DN168" s="185">
        <v>5.1832707767688595E-3</v>
      </c>
      <c r="DO168" s="185">
        <v>7.5301091217904116E-8</v>
      </c>
      <c r="DP168" s="185">
        <v>0</v>
      </c>
      <c r="DQ168" s="185">
        <v>1.0158428660030856E-13</v>
      </c>
      <c r="DR168" s="185">
        <v>1.8647243217973639</v>
      </c>
      <c r="DS168" s="185">
        <v>9.5683253070855926E-6</v>
      </c>
      <c r="DT168" s="185">
        <v>0</v>
      </c>
      <c r="DU168" s="185">
        <v>1.2213444061309101E-18</v>
      </c>
      <c r="DV168" s="185">
        <v>58.916268437091482</v>
      </c>
      <c r="DW168" s="185">
        <v>3.0282605912449839E-4</v>
      </c>
      <c r="DX168" s="185">
        <v>0</v>
      </c>
      <c r="DY168" s="185">
        <v>2.8808480345497516E-25</v>
      </c>
      <c r="DZ168" s="185">
        <v>218.95119465973247</v>
      </c>
      <c r="EA168" s="185">
        <v>1.1344140357219315E-3</v>
      </c>
      <c r="EB168" s="185">
        <v>0</v>
      </c>
      <c r="EC168" s="185">
        <v>8.7009412763345993E-16</v>
      </c>
      <c r="ED168" s="185">
        <v>1.3574959246377691</v>
      </c>
      <c r="EE168" s="185">
        <v>3.0533661812278747E-5</v>
      </c>
      <c r="EF168" s="185">
        <v>0</v>
      </c>
      <c r="EG168" s="185">
        <v>4.1205690709866959E-10</v>
      </c>
      <c r="EH168" s="185">
        <v>9.9682049885243228E-4</v>
      </c>
      <c r="EI168" s="185">
        <v>2.6419284773910182E-8</v>
      </c>
      <c r="EJ168" s="185">
        <v>1.0378442558387304E-9</v>
      </c>
      <c r="EK168" s="185">
        <v>2.5106833863467585E-3</v>
      </c>
      <c r="EL168" s="185">
        <v>2.6419276848124751E-8</v>
      </c>
      <c r="EM168" s="185">
        <v>0</v>
      </c>
      <c r="EN168" s="185">
        <v>3.5762104905776908E-13</v>
      </c>
      <c r="EO168" s="185">
        <v>0.21296990516981726</v>
      </c>
      <c r="EP168" s="185">
        <v>1.1602131875451591E-6</v>
      </c>
      <c r="EQ168" s="185">
        <v>0</v>
      </c>
      <c r="ER168" s="185">
        <v>4.2583414513545476E-18</v>
      </c>
      <c r="ES168" s="185">
        <v>65.263562300794291</v>
      </c>
      <c r="ET168" s="185">
        <v>3.3750090097555265E-4</v>
      </c>
      <c r="EU168" s="185">
        <v>0</v>
      </c>
      <c r="EV168" s="185">
        <v>1.0044035532039255E-24</v>
      </c>
      <c r="EW168" s="185">
        <v>242.54528279256354</v>
      </c>
      <c r="EX168" s="185">
        <v>1.2643381813997581E-3</v>
      </c>
      <c r="EY168" s="185">
        <v>0</v>
      </c>
      <c r="EZ168" s="185">
        <v>1.9544344935967798E-15</v>
      </c>
      <c r="FA168" s="185">
        <v>0.46984009423235568</v>
      </c>
      <c r="FB168" s="192">
        <v>4.0549541853904289E-5</v>
      </c>
    </row>
    <row r="169" spans="2:160" ht="12.75" customHeight="1" x14ac:dyDescent="0.3">
      <c r="B169" s="188" t="s">
        <v>4111</v>
      </c>
      <c r="C169" s="336"/>
      <c r="D169" s="185">
        <f t="shared" ref="D169:AI169" si="0">D168*Molweight</f>
        <v>0</v>
      </c>
      <c r="E169" s="185">
        <f t="shared" si="0"/>
        <v>22.066876356472772</v>
      </c>
      <c r="F169" s="185">
        <f t="shared" si="0"/>
        <v>879.96301283221862</v>
      </c>
      <c r="G169" s="185">
        <f t="shared" si="0"/>
        <v>3.6583542675101138E-4</v>
      </c>
      <c r="H169" s="185">
        <f t="shared" si="0"/>
        <v>69.033020564049664</v>
      </c>
      <c r="I169" s="185">
        <f t="shared" si="0"/>
        <v>2752.8366001187114</v>
      </c>
      <c r="J169" s="185">
        <f t="shared" si="0"/>
        <v>3.6583531700038331E-4</v>
      </c>
      <c r="K169" s="185">
        <f t="shared" si="0"/>
        <v>0</v>
      </c>
      <c r="L169" s="185">
        <f t="shared" si="0"/>
        <v>6.3430408690440723E-5</v>
      </c>
      <c r="M169" s="185">
        <f t="shared" si="0"/>
        <v>9170.5242107215236</v>
      </c>
      <c r="N169" s="185">
        <f t="shared" si="0"/>
        <v>1.8700909585222781E-3</v>
      </c>
      <c r="O169" s="185">
        <f t="shared" si="0"/>
        <v>0</v>
      </c>
      <c r="P169" s="185">
        <f t="shared" si="0"/>
        <v>0.30478137449224657</v>
      </c>
      <c r="Q169" s="185">
        <f t="shared" si="0"/>
        <v>10095.251287146059</v>
      </c>
      <c r="R169" s="185">
        <f t="shared" si="0"/>
        <v>8.5349728380590211</v>
      </c>
      <c r="S169" s="185">
        <f t="shared" si="0"/>
        <v>0</v>
      </c>
      <c r="T169" s="185">
        <f t="shared" si="0"/>
        <v>8.8958707026560383E-5</v>
      </c>
      <c r="U169" s="185">
        <f t="shared" si="0"/>
        <v>63.165972871079205</v>
      </c>
      <c r="V169" s="185">
        <f t="shared" si="0"/>
        <v>1.9496586948490931E-2</v>
      </c>
      <c r="W169" s="185">
        <f t="shared" si="0"/>
        <v>0</v>
      </c>
      <c r="X169" s="185">
        <f t="shared" si="0"/>
        <v>4.4884057413724271E-10</v>
      </c>
      <c r="Y169" s="185">
        <f t="shared" si="0"/>
        <v>1258434.6671158951</v>
      </c>
      <c r="Z169" s="185">
        <f t="shared" si="0"/>
        <v>0.2587247367597062</v>
      </c>
      <c r="AA169" s="185">
        <f t="shared" si="0"/>
        <v>0</v>
      </c>
      <c r="AB169" s="185">
        <f t="shared" si="0"/>
        <v>7.1888885098672373E-5</v>
      </c>
      <c r="AC169" s="185">
        <f t="shared" si="0"/>
        <v>24484695.495674342</v>
      </c>
      <c r="AD169" s="185">
        <f t="shared" si="0"/>
        <v>20869.363862437491</v>
      </c>
      <c r="AE169" s="185">
        <f t="shared" si="0"/>
        <v>0</v>
      </c>
      <c r="AF169" s="185">
        <f t="shared" si="0"/>
        <v>6.2948162380413403E-9</v>
      </c>
      <c r="AG169" s="185">
        <f t="shared" si="0"/>
        <v>70423.424479552748</v>
      </c>
      <c r="AH169" s="185">
        <f t="shared" si="0"/>
        <v>21.911289631067984</v>
      </c>
      <c r="AI169" s="185">
        <f t="shared" si="0"/>
        <v>0</v>
      </c>
      <c r="AJ169" s="185">
        <f t="shared" ref="AJ169:BO169" si="1">AJ168*Molweight</f>
        <v>7.0254551398803131E-5</v>
      </c>
      <c r="AK169" s="185">
        <f t="shared" si="1"/>
        <v>490829.42655378755</v>
      </c>
      <c r="AL169" s="185">
        <f t="shared" si="1"/>
        <v>45.109411920727183</v>
      </c>
      <c r="AM169" s="185">
        <f t="shared" si="1"/>
        <v>0</v>
      </c>
      <c r="AN169" s="185">
        <f t="shared" si="1"/>
        <v>1.1132054436003923E-2</v>
      </c>
      <c r="AO169" s="185">
        <f t="shared" si="1"/>
        <v>5469783.2755116513</v>
      </c>
      <c r="AP169" s="185">
        <f t="shared" si="1"/>
        <v>7108.6019505548502</v>
      </c>
      <c r="AQ169" s="185">
        <f t="shared" si="1"/>
        <v>0</v>
      </c>
      <c r="AR169" s="185">
        <f t="shared" si="1"/>
        <v>2.6020204221778938E-5</v>
      </c>
      <c r="AS169" s="185">
        <f t="shared" si="1"/>
        <v>181788.67650140281</v>
      </c>
      <c r="AT169" s="185">
        <f t="shared" si="1"/>
        <v>16.707189600269324</v>
      </c>
      <c r="AU169" s="185">
        <f t="shared" si="1"/>
        <v>0</v>
      </c>
      <c r="AV169" s="185">
        <f t="shared" si="1"/>
        <v>1.4476541811478644E-2</v>
      </c>
      <c r="AW169" s="185">
        <f t="shared" si="1"/>
        <v>24.904579858903944</v>
      </c>
      <c r="AX169" s="185">
        <f t="shared" si="1"/>
        <v>4.5213037370921972E-5</v>
      </c>
      <c r="AY169" s="185">
        <f t="shared" si="1"/>
        <v>4.5287759940814257E-2</v>
      </c>
      <c r="AZ169" s="185">
        <f t="shared" si="1"/>
        <v>77.910363612102842</v>
      </c>
      <c r="BA169" s="185">
        <f t="shared" si="1"/>
        <v>4.5213023807010761E-5</v>
      </c>
      <c r="BB169" s="185">
        <f t="shared" si="1"/>
        <v>0</v>
      </c>
      <c r="BC169" s="185">
        <f t="shared" si="1"/>
        <v>2.0236538028723883E-8</v>
      </c>
      <c r="BD169" s="185">
        <f t="shared" si="1"/>
        <v>63.127510897522974</v>
      </c>
      <c r="BE169" s="185">
        <f t="shared" si="1"/>
        <v>1.1029082248472822E-6</v>
      </c>
      <c r="BF169" s="185">
        <f t="shared" si="1"/>
        <v>0</v>
      </c>
      <c r="BG169" s="185">
        <f t="shared" si="1"/>
        <v>6.3343786399038379E-8</v>
      </c>
      <c r="BH169" s="185">
        <f t="shared" si="1"/>
        <v>39.548008412490354</v>
      </c>
      <c r="BI169" s="185">
        <f t="shared" si="1"/>
        <v>2.4137455146516529E-6</v>
      </c>
      <c r="BJ169" s="185">
        <f t="shared" si="1"/>
        <v>0</v>
      </c>
      <c r="BK169" s="185">
        <f t="shared" si="1"/>
        <v>6.906934862223241E-6</v>
      </c>
      <c r="BL169" s="185">
        <f t="shared" si="1"/>
        <v>2732.222346775442</v>
      </c>
      <c r="BM169" s="185">
        <f t="shared" si="1"/>
        <v>1.8392991551196919E-2</v>
      </c>
      <c r="BN169" s="185">
        <f t="shared" si="1"/>
        <v>0</v>
      </c>
      <c r="BO169" s="185">
        <f t="shared" si="1"/>
        <v>1.4319597705922222E-13</v>
      </c>
      <c r="BP169" s="185">
        <f t="shared" ref="BP169:CU169" si="2">BP168*Molweight</f>
        <v>8668.8617520214684</v>
      </c>
      <c r="BQ169" s="185">
        <f t="shared" si="2"/>
        <v>1.5268214151026299E-4</v>
      </c>
      <c r="BR169" s="185">
        <f t="shared" si="2"/>
        <v>0</v>
      </c>
      <c r="BS169" s="185">
        <f t="shared" si="2"/>
        <v>1.4940920158725639E-11</v>
      </c>
      <c r="BT169" s="185">
        <f t="shared" si="2"/>
        <v>95915.577446783645</v>
      </c>
      <c r="BU169" s="185">
        <f t="shared" si="2"/>
        <v>5.9017162687225273E-3</v>
      </c>
      <c r="BV169" s="185">
        <f t="shared" si="2"/>
        <v>0</v>
      </c>
      <c r="BW169" s="185">
        <f t="shared" si="2"/>
        <v>2.4437116488684755E-11</v>
      </c>
      <c r="BX169" s="185">
        <f t="shared" si="2"/>
        <v>152306.83246157452</v>
      </c>
      <c r="BY169" s="185">
        <f t="shared" si="2"/>
        <v>1.033529266481898</v>
      </c>
      <c r="BZ169" s="185">
        <f t="shared" si="2"/>
        <v>0</v>
      </c>
      <c r="CA169" s="185">
        <f t="shared" si="2"/>
        <v>2.241375031162556E-8</v>
      </c>
      <c r="CB169" s="185">
        <f t="shared" si="2"/>
        <v>6594.2218315666269</v>
      </c>
      <c r="CC169" s="185">
        <f t="shared" si="2"/>
        <v>3.0688341195824601E-2</v>
      </c>
      <c r="CD169" s="185">
        <f t="shared" si="2"/>
        <v>0</v>
      </c>
      <c r="CE169" s="185">
        <f t="shared" si="2"/>
        <v>4.9808334159254429E-8</v>
      </c>
      <c r="CF169" s="185">
        <f t="shared" si="2"/>
        <v>27027.922462691527</v>
      </c>
      <c r="CG169" s="185">
        <f t="shared" si="2"/>
        <v>6.8229541161543963E-2</v>
      </c>
      <c r="CH169" s="185">
        <f t="shared" si="2"/>
        <v>0</v>
      </c>
      <c r="CI169" s="185">
        <f t="shared" si="2"/>
        <v>8.3013890043057606E-9</v>
      </c>
      <c r="CJ169" s="185">
        <f t="shared" si="2"/>
        <v>2442.3043820617131</v>
      </c>
      <c r="CK169" s="185">
        <f t="shared" si="2"/>
        <v>1.1366052294749849E-2</v>
      </c>
      <c r="CL169" s="185">
        <f t="shared" si="2"/>
        <v>0</v>
      </c>
      <c r="CM169" s="185">
        <f t="shared" si="2"/>
        <v>1.393109081982131E-6</v>
      </c>
      <c r="CN169" s="185">
        <f t="shared" si="2"/>
        <v>0.10110422659228069</v>
      </c>
      <c r="CO169" s="185">
        <f t="shared" si="2"/>
        <v>8.2051550313196851E-7</v>
      </c>
      <c r="CP169" s="185">
        <f t="shared" si="2"/>
        <v>4.3581395679836567E-6</v>
      </c>
      <c r="CQ169" s="185">
        <f t="shared" si="2"/>
        <v>0.31628989933386881</v>
      </c>
      <c r="CR169" s="185">
        <f t="shared" si="2"/>
        <v>8.2051525697731772E-7</v>
      </c>
      <c r="CS169" s="185">
        <f t="shared" si="2"/>
        <v>0</v>
      </c>
      <c r="CT169" s="185">
        <f t="shared" si="2"/>
        <v>6.4486885701797786E-10</v>
      </c>
      <c r="CU169" s="185">
        <f t="shared" si="2"/>
        <v>28.349489052647368</v>
      </c>
      <c r="CV169" s="185">
        <f t="shared" ref="CV169:EA169" si="3">CV168*Molweight</f>
        <v>1.4628269467292015E-4</v>
      </c>
      <c r="CW169" s="185">
        <f t="shared" si="3"/>
        <v>0</v>
      </c>
      <c r="CX169" s="185">
        <f t="shared" si="3"/>
        <v>7.7172790512361971E-15</v>
      </c>
      <c r="CY169" s="185">
        <f t="shared" si="3"/>
        <v>900.41710465161441</v>
      </c>
      <c r="CZ169" s="185">
        <f t="shared" si="3"/>
        <v>4.6539089746410207E-3</v>
      </c>
      <c r="DA169" s="185">
        <f t="shared" si="3"/>
        <v>0</v>
      </c>
      <c r="DB169" s="185">
        <f t="shared" si="3"/>
        <v>1.8202772615506386E-21</v>
      </c>
      <c r="DC169" s="185">
        <f t="shared" si="3"/>
        <v>3346.2302685723334</v>
      </c>
      <c r="DD169" s="185">
        <f t="shared" si="3"/>
        <v>1.743396746326438E-2</v>
      </c>
      <c r="DE169" s="185">
        <f t="shared" si="3"/>
        <v>0</v>
      </c>
      <c r="DF169" s="185">
        <f t="shared" si="3"/>
        <v>8.2493716567121488E-12</v>
      </c>
      <c r="DG169" s="185">
        <f t="shared" si="3"/>
        <v>102.32775557535588</v>
      </c>
      <c r="DH169" s="185">
        <f t="shared" si="3"/>
        <v>1.1424285535917504E-3</v>
      </c>
      <c r="DI169" s="185">
        <f t="shared" si="3"/>
        <v>0</v>
      </c>
      <c r="DJ169" s="185">
        <f t="shared" si="3"/>
        <v>4.0141105362021671E-11</v>
      </c>
      <c r="DK169" s="185">
        <f t="shared" si="3"/>
        <v>1.6856517316014778E-4</v>
      </c>
      <c r="DL169" s="185">
        <f t="shared" si="3"/>
        <v>1.1069263729811021E-8</v>
      </c>
      <c r="DM169" s="185">
        <f t="shared" si="3"/>
        <v>1.8144404008035116E-10</v>
      </c>
      <c r="DN169" s="185">
        <f t="shared" si="3"/>
        <v>7.619408041850223E-4</v>
      </c>
      <c r="DO169" s="185">
        <f t="shared" si="3"/>
        <v>1.1069260409031904E-8</v>
      </c>
      <c r="DP169" s="185">
        <f t="shared" si="3"/>
        <v>0</v>
      </c>
      <c r="DQ169" s="185">
        <f t="shared" si="3"/>
        <v>1.4932890130245359E-14</v>
      </c>
      <c r="DR169" s="185">
        <f t="shared" si="3"/>
        <v>0.27411447530421246</v>
      </c>
      <c r="DS169" s="185">
        <f t="shared" si="3"/>
        <v>1.4065438201415821E-6</v>
      </c>
      <c r="DT169" s="185">
        <f t="shared" si="3"/>
        <v>0</v>
      </c>
      <c r="DU169" s="185">
        <f t="shared" si="3"/>
        <v>1.7953762770124378E-19</v>
      </c>
      <c r="DV169" s="185">
        <f t="shared" si="3"/>
        <v>8.6606914602524476</v>
      </c>
      <c r="DW169" s="185">
        <f t="shared" si="3"/>
        <v>4.4515430691301264E-5</v>
      </c>
      <c r="DX169" s="185">
        <f t="shared" si="3"/>
        <v>0</v>
      </c>
      <c r="DY169" s="185">
        <f t="shared" si="3"/>
        <v>4.2348466107881343E-26</v>
      </c>
      <c r="DZ169" s="185">
        <f t="shared" si="3"/>
        <v>32.185825614980672</v>
      </c>
      <c r="EA169" s="185">
        <f t="shared" si="3"/>
        <v>1.6675886325112394E-4</v>
      </c>
      <c r="EB169" s="185">
        <f t="shared" ref="EB169:FB169" si="4">EB168*Molweight</f>
        <v>0</v>
      </c>
      <c r="EC169" s="185">
        <f t="shared" si="4"/>
        <v>1.2790383676211861E-16</v>
      </c>
      <c r="ED169" s="185">
        <f t="shared" si="4"/>
        <v>0.19955190092175204</v>
      </c>
      <c r="EE169" s="185">
        <f t="shared" si="4"/>
        <v>4.4884482864049759E-6</v>
      </c>
      <c r="EF169" s="185">
        <f t="shared" si="4"/>
        <v>0</v>
      </c>
      <c r="EG169" s="185">
        <f t="shared" si="4"/>
        <v>6.0572365343504423E-11</v>
      </c>
      <c r="EH169" s="185">
        <f t="shared" si="4"/>
        <v>1.4653261333130753E-4</v>
      </c>
      <c r="EI169" s="185">
        <f t="shared" si="4"/>
        <v>3.8836348617647968E-9</v>
      </c>
      <c r="EJ169" s="185">
        <f t="shared" si="4"/>
        <v>1.5256310560829336E-10</v>
      </c>
      <c r="EK169" s="185">
        <f t="shared" si="4"/>
        <v>3.6907045779297349E-4</v>
      </c>
      <c r="EL169" s="185">
        <f t="shared" si="4"/>
        <v>3.8836336966743386E-9</v>
      </c>
      <c r="EM169" s="185">
        <f t="shared" si="4"/>
        <v>0</v>
      </c>
      <c r="EN169" s="185">
        <f t="shared" si="4"/>
        <v>5.2570294211492051E-14</v>
      </c>
      <c r="EO169" s="185">
        <f t="shared" si="4"/>
        <v>3.1306576059963134E-2</v>
      </c>
      <c r="EP169" s="185">
        <f t="shared" si="4"/>
        <v>1.7055133856913839E-7</v>
      </c>
      <c r="EQ169" s="185">
        <f t="shared" si="4"/>
        <v>0</v>
      </c>
      <c r="ER169" s="185">
        <f t="shared" si="4"/>
        <v>6.2597619334911843E-19</v>
      </c>
      <c r="ES169" s="185">
        <f t="shared" si="4"/>
        <v>9.593743658216761</v>
      </c>
      <c r="ET169" s="185">
        <f t="shared" si="4"/>
        <v>4.9612632443406238E-5</v>
      </c>
      <c r="EU169" s="185">
        <f t="shared" si="4"/>
        <v>0</v>
      </c>
      <c r="EV169" s="185">
        <f t="shared" si="4"/>
        <v>1.4764732232097703E-25</v>
      </c>
      <c r="EW169" s="185">
        <f t="shared" si="4"/>
        <v>35.654156570506835</v>
      </c>
      <c r="EX169" s="185">
        <f t="shared" si="4"/>
        <v>1.8585771266576442E-4</v>
      </c>
      <c r="EY169" s="185">
        <f t="shared" si="4"/>
        <v>0</v>
      </c>
      <c r="EZ169" s="185">
        <f t="shared" si="4"/>
        <v>2.8730187055872662E-16</v>
      </c>
      <c r="FA169" s="185">
        <f t="shared" si="4"/>
        <v>6.9066493852156283E-2</v>
      </c>
      <c r="FB169" s="185">
        <f t="shared" si="4"/>
        <v>5.9607826525239305E-6</v>
      </c>
    </row>
    <row r="170" spans="2:160" ht="12.75" customHeight="1" x14ac:dyDescent="0.3">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4113</v>
      </c>
      <c r="C171" s="389"/>
      <c r="D171" s="185">
        <f>D168/D4</f>
        <v>0</v>
      </c>
      <c r="E171" s="185">
        <f t="shared" ref="E171:AI171" si="5">E168/E4</f>
        <v>6.5389576242770545E-13</v>
      </c>
      <c r="F171" s="185">
        <f t="shared" si="5"/>
        <v>2.6075466046435873E-11</v>
      </c>
      <c r="G171" s="185">
        <f>G168/G4</f>
        <v>1.0840602513651591E-17</v>
      </c>
      <c r="H171" s="185">
        <f t="shared" si="5"/>
        <v>6.8187266871863519E-6</v>
      </c>
      <c r="I171" s="185">
        <f t="shared" si="5"/>
        <v>2.7191103963467727E-4</v>
      </c>
      <c r="J171" s="185">
        <f t="shared" si="5"/>
        <v>3.6135330871569447E-11</v>
      </c>
      <c r="K171" s="32">
        <f t="shared" si="5"/>
        <v>0</v>
      </c>
      <c r="L171" s="185">
        <f t="shared" si="5"/>
        <v>7.5512863253539062E-15</v>
      </c>
      <c r="M171" s="185">
        <f t="shared" si="5"/>
        <v>1.0917358960542938E-6</v>
      </c>
      <c r="N171" s="185">
        <f t="shared" si="5"/>
        <v>2.2263126745997855E-13</v>
      </c>
      <c r="O171" s="185">
        <f t="shared" si="5"/>
        <v>0</v>
      </c>
      <c r="P171" s="185">
        <f t="shared" si="5"/>
        <v>1.099506779898062E-10</v>
      </c>
      <c r="Q171" s="185">
        <f t="shared" si="5"/>
        <v>3.6418883055053937E-6</v>
      </c>
      <c r="R171" s="185">
        <f t="shared" si="5"/>
        <v>3.0790137741604109E-9</v>
      </c>
      <c r="S171" s="185">
        <f t="shared" si="5"/>
        <v>0</v>
      </c>
      <c r="T171" s="185">
        <f t="shared" si="5"/>
        <v>6.0516127228952578E-14</v>
      </c>
      <c r="U171" s="185">
        <f t="shared" si="5"/>
        <v>4.2970049572162675E-8</v>
      </c>
      <c r="V171" s="185">
        <f t="shared" si="5"/>
        <v>1.32629843187013E-11</v>
      </c>
      <c r="W171" s="185">
        <f t="shared" si="5"/>
        <v>0</v>
      </c>
      <c r="X171" s="185">
        <f t="shared" si="5"/>
        <v>1.7811245214617621E-16</v>
      </c>
      <c r="Y171" s="185">
        <f t="shared" si="5"/>
        <v>0.49938195729433438</v>
      </c>
      <c r="Z171" s="185">
        <f t="shared" si="5"/>
        <v>1.0266918801564184E-7</v>
      </c>
      <c r="AA171" s="185">
        <f t="shared" si="5"/>
        <v>0</v>
      </c>
      <c r="AB171" s="185">
        <f t="shared" si="5"/>
        <v>2.5934103321433049E-12</v>
      </c>
      <c r="AC171" s="185">
        <f t="shared" si="5"/>
        <v>0.88329179386643697</v>
      </c>
      <c r="AD171" s="185">
        <f t="shared" si="5"/>
        <v>7.5286775962398443E-4</v>
      </c>
      <c r="AE171" s="185">
        <f t="shared" si="5"/>
        <v>0</v>
      </c>
      <c r="AF171" s="185">
        <f t="shared" si="5"/>
        <v>1.4273959723449737E-15</v>
      </c>
      <c r="AG171" s="185">
        <f t="shared" si="5"/>
        <v>1.5969030494229632E-2</v>
      </c>
      <c r="AH171" s="185">
        <f t="shared" si="5"/>
        <v>4.9685464016027131E-6</v>
      </c>
      <c r="AI171" s="185">
        <f t="shared" si="5"/>
        <v>0</v>
      </c>
      <c r="AJ171" s="185">
        <f t="shared" ref="AJ171:BO171" si="6">AJ168/AJ4</f>
        <v>1.5488313600637941E-13</v>
      </c>
      <c r="AK171" s="185">
        <f t="shared" si="6"/>
        <v>1.0820822183793576E-3</v>
      </c>
      <c r="AL171" s="185">
        <f t="shared" si="6"/>
        <v>9.9448178695577119E-8</v>
      </c>
      <c r="AM171" s="185">
        <f t="shared" si="6"/>
        <v>0</v>
      </c>
      <c r="AN171" s="185">
        <f t="shared" si="6"/>
        <v>2.7609434553023304E-12</v>
      </c>
      <c r="AO171" s="185">
        <f t="shared" si="6"/>
        <v>1.3566015530433503E-3</v>
      </c>
      <c r="AP171" s="185">
        <f t="shared" si="6"/>
        <v>1.7630571377963102E-6</v>
      </c>
      <c r="AQ171" s="185">
        <f t="shared" si="6"/>
        <v>0</v>
      </c>
      <c r="AR171" s="185">
        <f t="shared" si="6"/>
        <v>1.5488313600637946E-13</v>
      </c>
      <c r="AS171" s="185">
        <f t="shared" si="6"/>
        <v>1.0820822183793578E-3</v>
      </c>
      <c r="AT171" s="185">
        <f t="shared" si="6"/>
        <v>9.9448178695577106E-8</v>
      </c>
      <c r="AU171" s="185">
        <f t="shared" si="6"/>
        <v>0</v>
      </c>
      <c r="AV171" s="185">
        <f t="shared" si="6"/>
        <v>1.367918961176983E-17</v>
      </c>
      <c r="AW171" s="185">
        <f t="shared" si="6"/>
        <v>2.3532862649647836E-14</v>
      </c>
      <c r="AX171" s="185">
        <f t="shared" si="6"/>
        <v>4.2722752379333974E-20</v>
      </c>
      <c r="AY171" s="185">
        <f t="shared" si="6"/>
        <v>1.4264453103744765E-10</v>
      </c>
      <c r="AZ171" s="185">
        <f t="shared" si="6"/>
        <v>2.4539715134794589E-7</v>
      </c>
      <c r="BA171" s="185">
        <f t="shared" si="6"/>
        <v>1.4240913187502752E-13</v>
      </c>
      <c r="BB171" s="185">
        <f t="shared" si="6"/>
        <v>0</v>
      </c>
      <c r="BC171" s="185">
        <f t="shared" si="6"/>
        <v>1.5796883850655726E-19</v>
      </c>
      <c r="BD171" s="185">
        <f t="shared" si="6"/>
        <v>4.9278090749204034E-10</v>
      </c>
      <c r="BE171" s="185">
        <f t="shared" si="6"/>
        <v>8.6094336398428268E-18</v>
      </c>
      <c r="BF171" s="185">
        <f t="shared" si="6"/>
        <v>0</v>
      </c>
      <c r="BG171" s="185">
        <f t="shared" si="6"/>
        <v>1.4983914543899656E-18</v>
      </c>
      <c r="BH171" s="185">
        <f t="shared" si="6"/>
        <v>9.3550450978910261E-10</v>
      </c>
      <c r="BI171" s="185">
        <f t="shared" si="6"/>
        <v>5.70969286465176E-17</v>
      </c>
      <c r="BJ171" s="185">
        <f t="shared" si="6"/>
        <v>0</v>
      </c>
      <c r="BK171" s="185">
        <f t="shared" si="6"/>
        <v>6.3265235246977199E-20</v>
      </c>
      <c r="BL171" s="185">
        <f t="shared" si="6"/>
        <v>2.502625158103157E-11</v>
      </c>
      <c r="BM171" s="185">
        <f t="shared" si="6"/>
        <v>1.6847370948096352E-16</v>
      </c>
      <c r="BN171" s="185">
        <f t="shared" si="6"/>
        <v>0</v>
      </c>
      <c r="BO171" s="185">
        <f t="shared" si="6"/>
        <v>3.7260164663127739E-21</v>
      </c>
      <c r="BP171" s="185">
        <f t="shared" ref="BP171:CU171" si="7">BP168/BP4</f>
        <v>2.2556724214998307E-4</v>
      </c>
      <c r="BQ171" s="185">
        <f t="shared" si="7"/>
        <v>3.9728502508408882E-12</v>
      </c>
      <c r="BR171" s="185">
        <f t="shared" si="7"/>
        <v>0</v>
      </c>
      <c r="BS171" s="185">
        <f t="shared" si="7"/>
        <v>3.534260952688665E-20</v>
      </c>
      <c r="BT171" s="185">
        <f t="shared" si="7"/>
        <v>2.268874182603668E-4</v>
      </c>
      <c r="BU171" s="185">
        <f t="shared" si="7"/>
        <v>1.3960455675289906E-11</v>
      </c>
      <c r="BV171" s="185">
        <f t="shared" si="7"/>
        <v>0</v>
      </c>
      <c r="BW171" s="185">
        <f t="shared" si="7"/>
        <v>1.4922392776282679E-21</v>
      </c>
      <c r="BX171" s="185">
        <f t="shared" si="7"/>
        <v>9.3005341999146018E-6</v>
      </c>
      <c r="BY171" s="185">
        <f t="shared" si="7"/>
        <v>6.3111904660958994E-11</v>
      </c>
      <c r="BZ171" s="185">
        <f t="shared" si="7"/>
        <v>0</v>
      </c>
      <c r="CA171" s="185">
        <f t="shared" si="7"/>
        <v>3.2400818191825404E-18</v>
      </c>
      <c r="CB171" s="185">
        <f t="shared" si="7"/>
        <v>9.5324601956655165E-7</v>
      </c>
      <c r="CC171" s="185">
        <f t="shared" si="7"/>
        <v>4.436238246032754E-12</v>
      </c>
      <c r="CD171" s="185">
        <f t="shared" si="7"/>
        <v>0</v>
      </c>
      <c r="CE171" s="185">
        <f t="shared" si="7"/>
        <v>8.1002045696540877E-19</v>
      </c>
      <c r="CF171" s="185">
        <f t="shared" si="7"/>
        <v>4.3954833008578466E-7</v>
      </c>
      <c r="CG171" s="185">
        <f t="shared" si="7"/>
        <v>1.1095999302748272E-12</v>
      </c>
      <c r="CH171" s="185">
        <f t="shared" si="7"/>
        <v>0</v>
      </c>
      <c r="CI171" s="185">
        <f t="shared" si="7"/>
        <v>3.2400818191825404E-18</v>
      </c>
      <c r="CJ171" s="185">
        <f t="shared" si="7"/>
        <v>9.5324601956655175E-7</v>
      </c>
      <c r="CK171" s="185">
        <f t="shared" si="7"/>
        <v>4.436238246032754E-12</v>
      </c>
      <c r="CL171" s="185">
        <f t="shared" si="7"/>
        <v>0</v>
      </c>
      <c r="CM171" s="185">
        <f t="shared" si="7"/>
        <v>1.2217082908331804E-22</v>
      </c>
      <c r="CN171" s="185">
        <f t="shared" si="7"/>
        <v>8.8664895996744484E-18</v>
      </c>
      <c r="CO171" s="185">
        <f t="shared" si="7"/>
        <v>7.1956360481636877E-23</v>
      </c>
      <c r="CP171" s="185">
        <f t="shared" si="7"/>
        <v>1.2739790232932774E-15</v>
      </c>
      <c r="CQ171" s="185">
        <f t="shared" si="7"/>
        <v>9.2458419641048607E-11</v>
      </c>
      <c r="CR171" s="185">
        <f t="shared" si="7"/>
        <v>2.398544629824292E-16</v>
      </c>
      <c r="CS171" s="185">
        <f t="shared" si="7"/>
        <v>0</v>
      </c>
      <c r="CT171" s="185">
        <f t="shared" si="7"/>
        <v>1.1310548512763152E-24</v>
      </c>
      <c r="CU171" s="185">
        <f t="shared" si="7"/>
        <v>4.9723020076479958E-14</v>
      </c>
      <c r="CV171" s="185">
        <f t="shared" ref="CV171:EA171" si="8">CV168/CV4</f>
        <v>2.5656961049828735E-19</v>
      </c>
      <c r="CW171" s="185">
        <f t="shared" si="8"/>
        <v>0</v>
      </c>
      <c r="CX171" s="185">
        <f t="shared" si="8"/>
        <v>4.5118558161407379E-31</v>
      </c>
      <c r="CY171" s="185">
        <f t="shared" si="8"/>
        <v>5.2642286531342004E-14</v>
      </c>
      <c r="CZ171" s="185">
        <f t="shared" si="8"/>
        <v>2.720876896587033E-19</v>
      </c>
      <c r="DA171" s="185">
        <f t="shared" si="8"/>
        <v>0</v>
      </c>
      <c r="DB171" s="185">
        <f t="shared" si="8"/>
        <v>1.0642129816726543E-32</v>
      </c>
      <c r="DC171" s="185">
        <f t="shared" si="8"/>
        <v>1.9563512475275635E-8</v>
      </c>
      <c r="DD171" s="185">
        <f t="shared" si="8"/>
        <v>1.0192653003125195E-13</v>
      </c>
      <c r="DE171" s="185">
        <f t="shared" si="8"/>
        <v>0</v>
      </c>
      <c r="DF171" s="185">
        <f t="shared" si="8"/>
        <v>2.893764129175645E-23</v>
      </c>
      <c r="DG171" s="185">
        <f t="shared" si="8"/>
        <v>3.5895144603175247E-10</v>
      </c>
      <c r="DH171" s="185">
        <f t="shared" si="8"/>
        <v>4.0074794858344668E-15</v>
      </c>
      <c r="DI171" s="185">
        <f t="shared" si="8"/>
        <v>0</v>
      </c>
      <c r="DJ171" s="185">
        <f t="shared" si="8"/>
        <v>6.4251488442347968E-27</v>
      </c>
      <c r="DK171" s="185">
        <f t="shared" si="8"/>
        <v>2.6981228288069613E-20</v>
      </c>
      <c r="DL171" s="185">
        <f t="shared" si="8"/>
        <v>1.771791444672451E-24</v>
      </c>
      <c r="DM171" s="185">
        <f t="shared" si="8"/>
        <v>9.6808907303497146E-20</v>
      </c>
      <c r="DN171" s="185">
        <f t="shared" si="8"/>
        <v>4.0653116327455367E-13</v>
      </c>
      <c r="DO171" s="185">
        <f t="shared" si="8"/>
        <v>5.9059697104500592E-18</v>
      </c>
      <c r="DP171" s="185">
        <f t="shared" si="8"/>
        <v>0</v>
      </c>
      <c r="DQ171" s="185">
        <f t="shared" si="8"/>
        <v>3.983697513737591E-29</v>
      </c>
      <c r="DR171" s="185">
        <f t="shared" si="8"/>
        <v>7.3126443992053485E-16</v>
      </c>
      <c r="DS171" s="185">
        <f t="shared" si="8"/>
        <v>3.752284434151213E-21</v>
      </c>
      <c r="DT171" s="185">
        <f t="shared" si="8"/>
        <v>0</v>
      </c>
      <c r="DU171" s="185">
        <f t="shared" si="8"/>
        <v>1.596528635465242E-35</v>
      </c>
      <c r="DV171" s="185">
        <f t="shared" si="8"/>
        <v>7.7014729983126117E-16</v>
      </c>
      <c r="DW171" s="185">
        <f t="shared" si="8"/>
        <v>3.9585105767908283E-21</v>
      </c>
      <c r="DX171" s="185">
        <f t="shared" si="8"/>
        <v>0</v>
      </c>
      <c r="DY171" s="185">
        <f t="shared" si="8"/>
        <v>3.7658144242480416E-37</v>
      </c>
      <c r="DZ171" s="185">
        <f t="shared" si="8"/>
        <v>2.8621071197350647E-10</v>
      </c>
      <c r="EA171" s="185">
        <f t="shared" si="8"/>
        <v>1.4828941643423941E-15</v>
      </c>
      <c r="EB171" s="185">
        <f t="shared" ref="EB171:FB171" si="9">EB168/EB4</f>
        <v>0</v>
      </c>
      <c r="EC171" s="185">
        <f t="shared" si="9"/>
        <v>1.0236401501570117E-27</v>
      </c>
      <c r="ED171" s="185">
        <f t="shared" si="9"/>
        <v>1.5970540289856107E-12</v>
      </c>
      <c r="EE171" s="185">
        <f t="shared" si="9"/>
        <v>3.5921955073269117E-17</v>
      </c>
      <c r="EF171" s="185">
        <f t="shared" si="9"/>
        <v>0</v>
      </c>
      <c r="EG171" s="185">
        <f t="shared" si="9"/>
        <v>3.2318198487512065E-27</v>
      </c>
      <c r="EH171" s="185">
        <f t="shared" si="9"/>
        <v>7.8182023364601698E-21</v>
      </c>
      <c r="EI171" s="185">
        <f t="shared" si="9"/>
        <v>2.0721013882116073E-25</v>
      </c>
      <c r="EJ171" s="185">
        <f t="shared" si="9"/>
        <v>2.7133191299139883E-20</v>
      </c>
      <c r="EK171" s="185">
        <f t="shared" si="9"/>
        <v>6.5638801034039228E-14</v>
      </c>
      <c r="EL171" s="185">
        <f t="shared" si="9"/>
        <v>6.9070025552706359E-19</v>
      </c>
      <c r="EM171" s="185">
        <f t="shared" si="9"/>
        <v>0</v>
      </c>
      <c r="EN171" s="185">
        <f t="shared" si="9"/>
        <v>4.0069585328601584E-29</v>
      </c>
      <c r="EO171" s="185">
        <f t="shared" si="9"/>
        <v>2.3862174248719024E-17</v>
      </c>
      <c r="EP171" s="185">
        <f t="shared" si="9"/>
        <v>1.2999587535519992E-22</v>
      </c>
      <c r="EQ171" s="185">
        <f t="shared" si="9"/>
        <v>0</v>
      </c>
      <c r="ER171" s="185">
        <f t="shared" si="9"/>
        <v>1.5904169752958163E-35</v>
      </c>
      <c r="ES171" s="185">
        <f t="shared" si="9"/>
        <v>2.4374813184236897E-16</v>
      </c>
      <c r="ET171" s="185">
        <f t="shared" si="9"/>
        <v>1.2605075666687308E-21</v>
      </c>
      <c r="EU171" s="185">
        <f t="shared" si="9"/>
        <v>0</v>
      </c>
      <c r="EV171" s="185">
        <f t="shared" si="9"/>
        <v>3.751273774804577E-37</v>
      </c>
      <c r="EW171" s="185">
        <f t="shared" si="9"/>
        <v>9.0586473498623175E-11</v>
      </c>
      <c r="EX171" s="185">
        <f t="shared" si="9"/>
        <v>4.7220847111102077E-16</v>
      </c>
      <c r="EY171" s="185">
        <f t="shared" si="9"/>
        <v>0</v>
      </c>
      <c r="EZ171" s="185">
        <f t="shared" si="9"/>
        <v>1.0219265325996232E-27</v>
      </c>
      <c r="FA171" s="185">
        <f t="shared" si="9"/>
        <v>2.4566802312802906E-13</v>
      </c>
      <c r="FB171" s="192">
        <f t="shared" si="9"/>
        <v>2.1202374825570866E-17</v>
      </c>
    </row>
    <row r="172" spans="2:160" ht="12.75" customHeight="1" x14ac:dyDescent="0.3">
      <c r="B172" s="197" t="s">
        <v>4114</v>
      </c>
      <c r="C172" s="441">
        <f>SUM(D172:FB172)</f>
        <v>1</v>
      </c>
      <c r="D172" s="198">
        <f t="shared" ref="D172:AI172" si="10">D168/SUM($D$168:$FB$168)</f>
        <v>0</v>
      </c>
      <c r="E172" s="198">
        <f t="shared" si="10"/>
        <v>6.830277455357617E-7</v>
      </c>
      <c r="F172" s="198">
        <f t="shared" si="10"/>
        <v>2.7237165020564718E-5</v>
      </c>
      <c r="G172" s="198">
        <f t="shared" si="10"/>
        <v>1.1323566722100282E-11</v>
      </c>
      <c r="H172" s="198">
        <f t="shared" si="10"/>
        <v>2.1367531879769654E-6</v>
      </c>
      <c r="I172" s="198">
        <f t="shared" si="10"/>
        <v>8.5207518564623926E-5</v>
      </c>
      <c r="J172" s="198">
        <f t="shared" si="10"/>
        <v>1.1323563325030264E-11</v>
      </c>
      <c r="K172" s="198">
        <f t="shared" si="10"/>
        <v>0</v>
      </c>
      <c r="L172" s="198">
        <f t="shared" si="10"/>
        <v>1.9633376444571179E-12</v>
      </c>
      <c r="M172" s="198">
        <f t="shared" si="10"/>
        <v>2.8385179559828983E-4</v>
      </c>
      <c r="N172" s="198">
        <f t="shared" si="10"/>
        <v>5.7884223879815769E-11</v>
      </c>
      <c r="O172" s="198">
        <f t="shared" si="10"/>
        <v>0</v>
      </c>
      <c r="P172" s="198">
        <f t="shared" si="10"/>
        <v>9.4337835467894473E-9</v>
      </c>
      <c r="Q172" s="198">
        <f t="shared" si="10"/>
        <v>3.1247452588611583E-4</v>
      </c>
      <c r="R172" s="198">
        <f t="shared" si="10"/>
        <v>2.6417981238556398E-7</v>
      </c>
      <c r="S172" s="198">
        <f t="shared" si="10"/>
        <v>0</v>
      </c>
      <c r="T172" s="198">
        <f t="shared" si="10"/>
        <v>2.7535054859862416E-12</v>
      </c>
      <c r="U172" s="198">
        <f t="shared" si="10"/>
        <v>1.9551526617427687E-6</v>
      </c>
      <c r="V172" s="198">
        <f t="shared" si="10"/>
        <v>6.0347054172728848E-10</v>
      </c>
      <c r="W172" s="198">
        <f t="shared" si="10"/>
        <v>0</v>
      </c>
      <c r="X172" s="198">
        <f t="shared" si="10"/>
        <v>1.3892793910000447E-17</v>
      </c>
      <c r="Y172" s="198">
        <f t="shared" si="10"/>
        <v>3.895185615303863E-2</v>
      </c>
      <c r="Z172" s="198">
        <f t="shared" si="10"/>
        <v>8.0082097170712711E-9</v>
      </c>
      <c r="AA172" s="198">
        <f t="shared" si="10"/>
        <v>0</v>
      </c>
      <c r="AB172" s="198">
        <f t="shared" si="10"/>
        <v>2.2251496915476539E-12</v>
      </c>
      <c r="AC172" s="198">
        <f t="shared" si="10"/>
        <v>0.75786559431346867</v>
      </c>
      <c r="AD172" s="198">
        <f t="shared" si="10"/>
        <v>6.4596159055130677E-4</v>
      </c>
      <c r="AE172" s="198">
        <f t="shared" si="10"/>
        <v>0</v>
      </c>
      <c r="AF172" s="198">
        <f t="shared" si="10"/>
        <v>1.9484108553361786E-16</v>
      </c>
      <c r="AG172" s="198">
        <f t="shared" si="10"/>
        <v>2.1797898387674432E-3</v>
      </c>
      <c r="AH172" s="198">
        <f t="shared" si="10"/>
        <v>6.7821192799222656E-7</v>
      </c>
      <c r="AI172" s="198">
        <f t="shared" si="10"/>
        <v>0</v>
      </c>
      <c r="AJ172" s="198">
        <f t="shared" ref="AJ172:BO172" si="11">AJ168/SUM($D$168:$FB$168)</f>
        <v>2.1745627736512581E-12</v>
      </c>
      <c r="AK172" s="198">
        <f t="shared" si="11"/>
        <v>1.5192459106850751E-2</v>
      </c>
      <c r="AL172" s="198">
        <f t="shared" si="11"/>
        <v>1.3962547045142012E-6</v>
      </c>
      <c r="AM172" s="198">
        <f t="shared" si="11"/>
        <v>0</v>
      </c>
      <c r="AN172" s="198">
        <f t="shared" si="11"/>
        <v>3.4456630479894973E-10</v>
      </c>
      <c r="AO172" s="198">
        <f t="shared" si="11"/>
        <v>0.16930414975321462</v>
      </c>
      <c r="AP172" s="198">
        <f t="shared" si="11"/>
        <v>2.200298894036443E-4</v>
      </c>
      <c r="AQ172" s="198">
        <f t="shared" si="11"/>
        <v>0</v>
      </c>
      <c r="AR172" s="198">
        <f t="shared" si="11"/>
        <v>8.0539361987083633E-13</v>
      </c>
      <c r="AS172" s="198">
        <f t="shared" si="11"/>
        <v>5.6268367062410184E-3</v>
      </c>
      <c r="AT172" s="198">
        <f t="shared" si="11"/>
        <v>5.1713137204229656E-7</v>
      </c>
      <c r="AU172" s="198">
        <f t="shared" si="11"/>
        <v>0</v>
      </c>
      <c r="AV172" s="198">
        <f t="shared" si="11"/>
        <v>4.4808696785705627E-10</v>
      </c>
      <c r="AW172" s="198">
        <f t="shared" si="11"/>
        <v>7.7086211749008533E-7</v>
      </c>
      <c r="AX172" s="198">
        <f t="shared" si="11"/>
        <v>1.3994621841992864E-12</v>
      </c>
      <c r="AY172" s="198">
        <f t="shared" si="11"/>
        <v>1.401775043873202E-9</v>
      </c>
      <c r="AZ172" s="198">
        <f t="shared" si="11"/>
        <v>2.4115302570332648E-6</v>
      </c>
      <c r="BA172" s="198">
        <f t="shared" si="11"/>
        <v>1.3994617643606313E-12</v>
      </c>
      <c r="BB172" s="198">
        <f t="shared" si="11"/>
        <v>0</v>
      </c>
      <c r="BC172" s="198">
        <f t="shared" si="11"/>
        <v>6.2637396992318786E-16</v>
      </c>
      <c r="BD172" s="198">
        <f t="shared" si="11"/>
        <v>1.9539621627041834E-6</v>
      </c>
      <c r="BE172" s="198">
        <f t="shared" si="11"/>
        <v>3.4137904530802395E-14</v>
      </c>
      <c r="BF172" s="198">
        <f t="shared" si="11"/>
        <v>0</v>
      </c>
      <c r="BG172" s="198">
        <f t="shared" si="11"/>
        <v>1.9606564571674478E-15</v>
      </c>
      <c r="BH172" s="198">
        <f t="shared" si="11"/>
        <v>1.2241146680685147E-6</v>
      </c>
      <c r="BI172" s="198">
        <f t="shared" si="11"/>
        <v>7.4711759405221991E-14</v>
      </c>
      <c r="BJ172" s="198">
        <f t="shared" si="11"/>
        <v>0</v>
      </c>
      <c r="BK172" s="198">
        <f t="shared" si="11"/>
        <v>2.1378776367335281E-13</v>
      </c>
      <c r="BL172" s="198">
        <f t="shared" si="11"/>
        <v>8.4569453314268443E-5</v>
      </c>
      <c r="BM172" s="198">
        <f t="shared" si="11"/>
        <v>5.693113674055332E-10</v>
      </c>
      <c r="BN172" s="198">
        <f t="shared" si="11"/>
        <v>0</v>
      </c>
      <c r="BO172" s="198">
        <f t="shared" si="11"/>
        <v>4.4322913583490484E-21</v>
      </c>
      <c r="BP172" s="198">
        <f t="shared" ref="BP172:CU172" si="12">BP168/SUM($D$168:$FB$168)</f>
        <v>2.6832402571139695E-4</v>
      </c>
      <c r="BQ172" s="198">
        <f t="shared" si="12"/>
        <v>4.7259130478943978E-12</v>
      </c>
      <c r="BR172" s="198">
        <f t="shared" si="12"/>
        <v>0</v>
      </c>
      <c r="BS172" s="198">
        <f t="shared" si="12"/>
        <v>4.6246069662917138E-19</v>
      </c>
      <c r="BT172" s="198">
        <f t="shared" si="12"/>
        <v>2.968838886253186E-3</v>
      </c>
      <c r="BU172" s="198">
        <f t="shared" si="12"/>
        <v>1.8267360965363231E-10</v>
      </c>
      <c r="BV172" s="198">
        <f t="shared" si="12"/>
        <v>0</v>
      </c>
      <c r="BW172" s="198">
        <f t="shared" si="12"/>
        <v>7.5639289915924963E-19</v>
      </c>
      <c r="BX172" s="198">
        <f t="shared" si="12"/>
        <v>4.7142962477064706E-3</v>
      </c>
      <c r="BY172" s="198">
        <f t="shared" si="12"/>
        <v>3.1990443659838311E-8</v>
      </c>
      <c r="BZ172" s="198">
        <f t="shared" si="12"/>
        <v>0</v>
      </c>
      <c r="CA172" s="198">
        <f t="shared" si="12"/>
        <v>6.9376440494082454E-16</v>
      </c>
      <c r="CB172" s="198">
        <f t="shared" si="12"/>
        <v>2.0410847454884604E-4</v>
      </c>
      <c r="CC172" s="198">
        <f t="shared" si="12"/>
        <v>9.4988471239011287E-10</v>
      </c>
      <c r="CD172" s="198">
        <f t="shared" si="12"/>
        <v>0</v>
      </c>
      <c r="CE172" s="198">
        <f t="shared" si="12"/>
        <v>1.5416986817759713E-15</v>
      </c>
      <c r="CF172" s="198">
        <f t="shared" si="12"/>
        <v>8.3658514453916095E-4</v>
      </c>
      <c r="CG172" s="198">
        <f t="shared" si="12"/>
        <v>2.1118833914542277E-9</v>
      </c>
      <c r="CH172" s="198">
        <f t="shared" si="12"/>
        <v>0</v>
      </c>
      <c r="CI172" s="198">
        <f t="shared" si="12"/>
        <v>2.5694977960771269E-16</v>
      </c>
      <c r="CJ172" s="198">
        <f t="shared" si="12"/>
        <v>7.5595731314387408E-5</v>
      </c>
      <c r="CK172" s="198">
        <f t="shared" si="12"/>
        <v>3.5180915273707875E-10</v>
      </c>
      <c r="CL172" s="198">
        <f t="shared" si="12"/>
        <v>0</v>
      </c>
      <c r="CM172" s="198">
        <f t="shared" si="12"/>
        <v>4.3120382793668082E-14</v>
      </c>
      <c r="CN172" s="198">
        <f t="shared" si="12"/>
        <v>3.1294411967467304E-9</v>
      </c>
      <c r="CO172" s="198">
        <f t="shared" si="12"/>
        <v>2.5397108554377701E-14</v>
      </c>
      <c r="CP172" s="198">
        <f t="shared" si="12"/>
        <v>1.3489585910408772E-13</v>
      </c>
      <c r="CQ172" s="198">
        <f t="shared" si="12"/>
        <v>9.7900025988216939E-9</v>
      </c>
      <c r="CR172" s="198">
        <f t="shared" si="12"/>
        <v>2.5397100935245143E-14</v>
      </c>
      <c r="CS172" s="198">
        <f t="shared" si="12"/>
        <v>0</v>
      </c>
      <c r="CT172" s="198">
        <f t="shared" si="12"/>
        <v>1.9960383810552954E-17</v>
      </c>
      <c r="CU172" s="198">
        <f t="shared" si="12"/>
        <v>8.7749109941610247E-7</v>
      </c>
      <c r="CV172" s="198">
        <f t="shared" ref="CV172:EA172" si="13">CV168/SUM($D$168:$FB$168)</f>
        <v>4.5278333706724738E-12</v>
      </c>
      <c r="CW172" s="198">
        <f t="shared" si="13"/>
        <v>0</v>
      </c>
      <c r="CX172" s="198">
        <f t="shared" si="13"/>
        <v>2.3887004335754434E-22</v>
      </c>
      <c r="CY172" s="198">
        <f t="shared" si="13"/>
        <v>2.7870272851355888E-5</v>
      </c>
      <c r="CZ172" s="198">
        <f t="shared" si="13"/>
        <v>1.4405069859129823E-10</v>
      </c>
      <c r="DA172" s="198">
        <f t="shared" si="13"/>
        <v>0</v>
      </c>
      <c r="DB172" s="198">
        <f t="shared" si="13"/>
        <v>5.6342359204919895E-29</v>
      </c>
      <c r="DC172" s="198">
        <f t="shared" si="13"/>
        <v>1.0357461017431551E-4</v>
      </c>
      <c r="DD172" s="198">
        <f t="shared" si="13"/>
        <v>5.3962705458692651E-10</v>
      </c>
      <c r="DE172" s="198">
        <f t="shared" si="13"/>
        <v>0</v>
      </c>
      <c r="DF172" s="198">
        <f t="shared" si="13"/>
        <v>2.5533970616180821E-19</v>
      </c>
      <c r="DG172" s="198">
        <f t="shared" si="13"/>
        <v>3.167312630356426E-6</v>
      </c>
      <c r="DH172" s="198">
        <f t="shared" si="13"/>
        <v>3.5361162440490569E-11</v>
      </c>
      <c r="DI172" s="198">
        <f t="shared" si="13"/>
        <v>0</v>
      </c>
      <c r="DJ172" s="198">
        <f t="shared" si="13"/>
        <v>1.2424725754487176E-18</v>
      </c>
      <c r="DK172" s="198">
        <f t="shared" si="13"/>
        <v>5.2175345680789621E-12</v>
      </c>
      <c r="DL172" s="198">
        <f t="shared" si="13"/>
        <v>3.4262276762591643E-16</v>
      </c>
      <c r="DM172" s="198">
        <f t="shared" si="13"/>
        <v>5.6161693043895838E-18</v>
      </c>
      <c r="DN172" s="198">
        <f t="shared" si="13"/>
        <v>2.3584067872005219E-11</v>
      </c>
      <c r="DO172" s="198">
        <f t="shared" si="13"/>
        <v>3.4262266483908618E-16</v>
      </c>
      <c r="DP172" s="198">
        <f t="shared" si="13"/>
        <v>0</v>
      </c>
      <c r="DQ172" s="198">
        <f t="shared" si="13"/>
        <v>4.6221214617006362E-22</v>
      </c>
      <c r="DR172" s="198">
        <f t="shared" si="13"/>
        <v>8.4845625208225653E-9</v>
      </c>
      <c r="DS172" s="198">
        <f t="shared" si="13"/>
        <v>4.3536223203913616E-14</v>
      </c>
      <c r="DT172" s="198">
        <f t="shared" si="13"/>
        <v>0</v>
      </c>
      <c r="DU172" s="198">
        <f t="shared" si="13"/>
        <v>5.5571608372042755E-27</v>
      </c>
      <c r="DV172" s="198">
        <f t="shared" si="13"/>
        <v>2.6807113373533225E-7</v>
      </c>
      <c r="DW172" s="198">
        <f t="shared" si="13"/>
        <v>1.3778694263501558E-12</v>
      </c>
      <c r="DX172" s="198">
        <f t="shared" si="13"/>
        <v>0</v>
      </c>
      <c r="DY172" s="198">
        <f t="shared" si="13"/>
        <v>1.3107961845301828E-33</v>
      </c>
      <c r="DZ172" s="198">
        <f t="shared" si="13"/>
        <v>9.9623578583921376E-7</v>
      </c>
      <c r="EA172" s="198">
        <f t="shared" si="13"/>
        <v>5.1616245350969912E-12</v>
      </c>
      <c r="EB172" s="198">
        <f t="shared" ref="EB172:FB172" si="14">EB168/SUM($D$168:$FB$168)</f>
        <v>0</v>
      </c>
      <c r="EC172" s="198">
        <f t="shared" si="14"/>
        <v>3.9589594765359034E-24</v>
      </c>
      <c r="ED172" s="198">
        <f t="shared" si="14"/>
        <v>6.1766551279007786E-9</v>
      </c>
      <c r="EE172" s="198">
        <f t="shared" si="14"/>
        <v>1.389292559804363E-13</v>
      </c>
      <c r="EF172" s="198">
        <f t="shared" si="14"/>
        <v>0</v>
      </c>
      <c r="EG172" s="198">
        <f t="shared" si="14"/>
        <v>1.874873700926262E-18</v>
      </c>
      <c r="EH172" s="198">
        <f t="shared" si="14"/>
        <v>4.5355690091492623E-12</v>
      </c>
      <c r="EI172" s="198">
        <f t="shared" si="14"/>
        <v>1.2020869294159139E-16</v>
      </c>
      <c r="EJ172" s="198">
        <f t="shared" si="14"/>
        <v>4.7222285742767132E-18</v>
      </c>
      <c r="EK172" s="198">
        <f t="shared" si="14"/>
        <v>1.1423699424329405E-11</v>
      </c>
      <c r="EL172" s="198">
        <f t="shared" si="14"/>
        <v>1.2020865687898353E-16</v>
      </c>
      <c r="EM172" s="198">
        <f t="shared" si="14"/>
        <v>0</v>
      </c>
      <c r="EN172" s="198">
        <f t="shared" si="14"/>
        <v>1.6271885951313947E-21</v>
      </c>
      <c r="EO172" s="198">
        <f t="shared" si="14"/>
        <v>9.6902070421073524E-10</v>
      </c>
      <c r="EP172" s="198">
        <f t="shared" si="14"/>
        <v>5.2790116008791226E-15</v>
      </c>
      <c r="EQ172" s="198">
        <f t="shared" si="14"/>
        <v>0</v>
      </c>
      <c r="ER172" s="198">
        <f t="shared" si="14"/>
        <v>1.9375606279539993E-26</v>
      </c>
      <c r="ES172" s="198">
        <f t="shared" si="14"/>
        <v>2.9695154838703331E-7</v>
      </c>
      <c r="ET172" s="198">
        <f t="shared" si="14"/>
        <v>1.5356411999822665E-12</v>
      </c>
      <c r="EU172" s="198">
        <f t="shared" si="14"/>
        <v>0</v>
      </c>
      <c r="EV172" s="198">
        <f t="shared" si="14"/>
        <v>4.5700721783265829E-33</v>
      </c>
      <c r="EW172" s="198">
        <f t="shared" si="14"/>
        <v>1.1035897327710845E-6</v>
      </c>
      <c r="EX172" s="198">
        <f t="shared" si="14"/>
        <v>5.752784056149116E-12</v>
      </c>
      <c r="EY172" s="198">
        <f t="shared" si="14"/>
        <v>0</v>
      </c>
      <c r="EZ172" s="198">
        <f t="shared" si="14"/>
        <v>8.8927470189215777E-24</v>
      </c>
      <c r="FA172" s="198">
        <f t="shared" si="14"/>
        <v>2.1377892741063204E-9</v>
      </c>
      <c r="FB172" s="387">
        <f t="shared" si="14"/>
        <v>1.8450186927285064E-13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2.1571287063785434</v>
      </c>
      <c r="D177" s="190">
        <f t="shared" ref="D177:D208" si="20">D10*D$168</f>
        <v>0</v>
      </c>
      <c r="E177" s="189">
        <f>$C177+SUM($D177:D177,F177:$FB177)-SUM(E$176:E176,E178:E$330)-E$331</f>
        <v>5.4299487805567291E-16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2.9582362662532551E-8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2.10435620446265</v>
      </c>
      <c r="F178" s="189">
        <f>$C178+SUM($D178:E178,G178:$FB178)-SUM(F$176:F177,F179:F$330)-F$331</f>
        <v>5.5097121526639925E-16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5.0891733878040692E-5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2.0997684087830652E-7</v>
      </c>
      <c r="F179" s="184">
        <f t="shared" ref="F179:F210" si="32">F12*F$168</f>
        <v>0</v>
      </c>
      <c r="G179" s="189">
        <f>$C179+SUM($D179:F179,H179:$FB179)-SUM(G$176:G178,G180:G$330)-G$331</f>
        <v>-8.2031436723398399E-25</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9.2391434777656822E-11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3.4746402838158288E-2</v>
      </c>
      <c r="F180" s="190">
        <f t="shared" si="32"/>
        <v>0</v>
      </c>
      <c r="G180" s="190">
        <f t="shared" ref="G180:G211" si="38">G13*G$168</f>
        <v>0</v>
      </c>
      <c r="H180" s="189">
        <f>$C180+SUM($D180:G180,I180:$FB180)-SUM(H$176:H179,H181:H$330)-H$331</f>
        <v>6.9388939039072284E-18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1.3855857482956941</v>
      </c>
      <c r="G181" s="190">
        <f t="shared" si="38"/>
        <v>0</v>
      </c>
      <c r="H181" s="190">
        <f t="shared" ref="H181:H212" si="44">H14*H$168</f>
        <v>0</v>
      </c>
      <c r="I181" s="189">
        <f>$C181+SUM($D181:H181,J181:$FB181)-SUM(I$176:I180,I182:I$330)-I$331</f>
        <v>2.2204460492503131E-16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1.8413595686613203E-7</v>
      </c>
      <c r="H182" s="190">
        <f t="shared" si="44"/>
        <v>0</v>
      </c>
      <c r="I182" s="184">
        <f t="shared" ref="I182:I213" si="50">I15*I$168</f>
        <v>0</v>
      </c>
      <c r="J182" s="189">
        <f>$C182+SUM($D182:I182,K182:$FB182)-SUM(J$176:J181,J183:J$330)-J$331</f>
        <v>5.2939559203393771E-23</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4.1345051567052398E-5</v>
      </c>
      <c r="F184" s="190">
        <f t="shared" si="32"/>
        <v>0</v>
      </c>
      <c r="G184" s="190">
        <f t="shared" si="38"/>
        <v>0</v>
      </c>
      <c r="H184" s="190">
        <f t="shared" si="44"/>
        <v>8.648762138691725E-5</v>
      </c>
      <c r="I184" s="184">
        <f t="shared" si="50"/>
        <v>0</v>
      </c>
      <c r="J184" s="190">
        <f t="shared" si="56"/>
        <v>0</v>
      </c>
      <c r="K184" s="190">
        <f t="shared" ref="K184:K215" si="62">K17*K$168</f>
        <v>0</v>
      </c>
      <c r="L184" s="189">
        <f>$C184+SUM($D184:K184,M184:$FB184)-SUM(L$176:L183,L185:L$330)-L$331</f>
        <v>9.1142635684626798E-20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5.6176543362794749E-12</v>
      </c>
      <c r="AK184" s="184">
        <f t="shared" si="63"/>
        <v>0</v>
      </c>
      <c r="AL184" s="184">
        <f t="shared" si="63"/>
        <v>0</v>
      </c>
      <c r="AM184" s="184">
        <f t="shared" si="63"/>
        <v>0</v>
      </c>
      <c r="AN184" s="184">
        <f t="shared" si="63"/>
        <v>4.0503507239467349E-10</v>
      </c>
      <c r="AO184" s="184">
        <f t="shared" si="63"/>
        <v>0</v>
      </c>
      <c r="AP184" s="184">
        <f t="shared" si="63"/>
        <v>0</v>
      </c>
      <c r="AQ184" s="184">
        <f t="shared" si="63"/>
        <v>0</v>
      </c>
      <c r="AR184" s="184">
        <f t="shared" si="63"/>
        <v>2.0806127171405462E-12</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1.6487207245051204E-3</v>
      </c>
      <c r="G185" s="190">
        <f t="shared" si="38"/>
        <v>0</v>
      </c>
      <c r="H185" s="190">
        <f t="shared" si="44"/>
        <v>0</v>
      </c>
      <c r="I185" s="184">
        <f t="shared" si="50"/>
        <v>3.4488754463556509E-3</v>
      </c>
      <c r="J185" s="190">
        <f t="shared" si="56"/>
        <v>0</v>
      </c>
      <c r="K185" s="190">
        <f t="shared" si="62"/>
        <v>0</v>
      </c>
      <c r="L185" s="190">
        <f t="shared" ref="L185:L216" si="68">L18*L$168</f>
        <v>1.2782391227969786E-4</v>
      </c>
      <c r="M185" s="189">
        <f>$C185+SUM($D185:L185,N185:$FB185)-SUM(M$176:M184,M186:M$330)-M$331</f>
        <v>-3.8380756905986857E-17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3.9247422431060129E-2</v>
      </c>
      <c r="AL185" s="184">
        <f t="shared" si="69"/>
        <v>0</v>
      </c>
      <c r="AM185" s="184">
        <f t="shared" si="69"/>
        <v>0</v>
      </c>
      <c r="AN185" s="184">
        <f t="shared" si="69"/>
        <v>0</v>
      </c>
      <c r="AO185" s="184">
        <f t="shared" si="69"/>
        <v>0.19901574122874288</v>
      </c>
      <c r="AP185" s="184">
        <f t="shared" si="69"/>
        <v>0</v>
      </c>
      <c r="AQ185" s="184">
        <f t="shared" si="69"/>
        <v>0</v>
      </c>
      <c r="AR185" s="184">
        <f t="shared" si="69"/>
        <v>0</v>
      </c>
      <c r="AS185" s="184">
        <f t="shared" si="69"/>
        <v>1.4536082381874121E-2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6.1945912913633597E-12</v>
      </c>
      <c r="H186" s="190">
        <f t="shared" si="44"/>
        <v>0</v>
      </c>
      <c r="I186" s="184">
        <f t="shared" si="50"/>
        <v>0</v>
      </c>
      <c r="J186" s="190">
        <f t="shared" si="56"/>
        <v>4.5833466547122645E-10</v>
      </c>
      <c r="K186" s="190">
        <f t="shared" si="62"/>
        <v>0</v>
      </c>
      <c r="L186" s="190">
        <f t="shared" si="68"/>
        <v>7.3887114288617475E-9</v>
      </c>
      <c r="M186" s="190">
        <f t="shared" ref="M186:M217" si="74">M19*M$168</f>
        <v>0</v>
      </c>
      <c r="N186" s="189">
        <f>$C186+SUM($D186:M186,O186:$FB186)-SUM(N$176:N185,N187:N$330)-N$331</f>
        <v>-4.7562885221799091E-24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6.1826168788010253E-10</v>
      </c>
      <c r="AM186" s="184">
        <f t="shared" si="75"/>
        <v>0</v>
      </c>
      <c r="AN186" s="184">
        <f t="shared" si="75"/>
        <v>0</v>
      </c>
      <c r="AO186" s="184">
        <f t="shared" si="75"/>
        <v>0</v>
      </c>
      <c r="AP186" s="184">
        <f t="shared" si="75"/>
        <v>4.4335593416946714E-8</v>
      </c>
      <c r="AQ186" s="184">
        <f t="shared" si="75"/>
        <v>0</v>
      </c>
      <c r="AR186" s="184">
        <f t="shared" si="75"/>
        <v>0</v>
      </c>
      <c r="AS186" s="184">
        <f t="shared" si="75"/>
        <v>0</v>
      </c>
      <c r="AT186" s="184">
        <f t="shared" si="75"/>
        <v>2.2898581032596381E-10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2.1571287063785434</v>
      </c>
      <c r="D188" s="190">
        <f t="shared" si="20"/>
        <v>0</v>
      </c>
      <c r="E188" s="190">
        <f t="shared" si="26"/>
        <v>4.5479556723757638E-4</v>
      </c>
      <c r="F188" s="190">
        <f t="shared" si="32"/>
        <v>0</v>
      </c>
      <c r="G188" s="190">
        <f t="shared" si="38"/>
        <v>0</v>
      </c>
      <c r="H188" s="190">
        <f t="shared" si="44"/>
        <v>9.5136383525608976E-4</v>
      </c>
      <c r="I188" s="184">
        <f t="shared" si="50"/>
        <v>0</v>
      </c>
      <c r="J188" s="190">
        <f t="shared" si="56"/>
        <v>0</v>
      </c>
      <c r="K188" s="190">
        <f t="shared" si="62"/>
        <v>0</v>
      </c>
      <c r="L188" s="190">
        <f t="shared" si="68"/>
        <v>1.0344163191526536E-12</v>
      </c>
      <c r="M188" s="190">
        <f t="shared" si="74"/>
        <v>0</v>
      </c>
      <c r="N188" s="190">
        <f t="shared" si="80"/>
        <v>0</v>
      </c>
      <c r="O188" s="190">
        <f t="shared" ref="O188:O219" si="86">O21*O$168</f>
        <v>0</v>
      </c>
      <c r="P188" s="189">
        <f>$C188+SUM($D188:O188,Q188:$FB188)-SUM(P$176:P187,P189:P$330)-P$331</f>
        <v>1.1895797878305133E-15</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1.2966921414394665E-11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6.1794197699074233E-11</v>
      </c>
      <c r="AK188" s="184">
        <f t="shared" si="87"/>
        <v>0</v>
      </c>
      <c r="AL188" s="184">
        <f t="shared" si="87"/>
        <v>0</v>
      </c>
      <c r="AM188" s="184">
        <f t="shared" si="87"/>
        <v>0</v>
      </c>
      <c r="AN188" s="184">
        <f t="shared" si="87"/>
        <v>4.4553857963414089E-9</v>
      </c>
      <c r="AO188" s="184">
        <f t="shared" si="87"/>
        <v>0</v>
      </c>
      <c r="AP188" s="184">
        <f t="shared" si="87"/>
        <v>0</v>
      </c>
      <c r="AQ188" s="184">
        <f t="shared" si="87"/>
        <v>0</v>
      </c>
      <c r="AR188" s="184">
        <f t="shared" si="87"/>
        <v>2.288673988854601E-11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1.8135927969556327E-2</v>
      </c>
      <c r="G189" s="190">
        <f t="shared" si="38"/>
        <v>0</v>
      </c>
      <c r="H189" s="190">
        <f t="shared" si="44"/>
        <v>0</v>
      </c>
      <c r="I189" s="184">
        <f t="shared" si="50"/>
        <v>3.793762990991216E-2</v>
      </c>
      <c r="J189" s="190">
        <f t="shared" si="56"/>
        <v>0</v>
      </c>
      <c r="K189" s="190">
        <f t="shared" si="62"/>
        <v>0</v>
      </c>
      <c r="L189" s="190">
        <f t="shared" si="68"/>
        <v>0</v>
      </c>
      <c r="M189" s="190">
        <f t="shared" si="74"/>
        <v>1.4955192776780046E-4</v>
      </c>
      <c r="N189" s="190">
        <f t="shared" si="80"/>
        <v>0</v>
      </c>
      <c r="O189" s="190">
        <f t="shared" si="86"/>
        <v>0</v>
      </c>
      <c r="P189" s="190">
        <f t="shared" ref="P189:P220" si="92">P22*P$168</f>
        <v>2.153998514589861</v>
      </c>
      <c r="Q189" s="189">
        <f>$C189+SUM($D189:P189,R189:$FB189)-SUM(Q$176:Q188,Q190:Q$330)-Q$331</f>
        <v>-9.0639301619788171E-16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4.4164146086284983</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0.43172164674166141</v>
      </c>
      <c r="AL189" s="184">
        <f t="shared" si="93"/>
        <v>0</v>
      </c>
      <c r="AM189" s="184">
        <f t="shared" si="93"/>
        <v>0</v>
      </c>
      <c r="AN189" s="184">
        <f t="shared" si="93"/>
        <v>0</v>
      </c>
      <c r="AO189" s="184">
        <f t="shared" si="93"/>
        <v>2.1891731535161716</v>
      </c>
      <c r="AP189" s="184">
        <f t="shared" si="93"/>
        <v>0</v>
      </c>
      <c r="AQ189" s="184">
        <f t="shared" si="93"/>
        <v>0</v>
      </c>
      <c r="AR189" s="184">
        <f t="shared" si="93"/>
        <v>0</v>
      </c>
      <c r="AS189" s="184">
        <f t="shared" si="93"/>
        <v>0.15989690620061534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6.8140504204996956E-11</v>
      </c>
      <c r="H190" s="190">
        <f t="shared" si="44"/>
        <v>0</v>
      </c>
      <c r="I190" s="184">
        <f t="shared" si="50"/>
        <v>0</v>
      </c>
      <c r="J190" s="190">
        <f t="shared" si="56"/>
        <v>5.0416813201834914E-9</v>
      </c>
      <c r="K190" s="190">
        <f t="shared" si="62"/>
        <v>0</v>
      </c>
      <c r="L190" s="190">
        <f t="shared" si="68"/>
        <v>0</v>
      </c>
      <c r="M190" s="190">
        <f t="shared" si="74"/>
        <v>0</v>
      </c>
      <c r="N190" s="190">
        <f t="shared" si="80"/>
        <v>3.0497243289665328E-11</v>
      </c>
      <c r="O190" s="190">
        <f t="shared" si="86"/>
        <v>0</v>
      </c>
      <c r="P190" s="190">
        <f t="shared" si="92"/>
        <v>4.252340331536055E-3</v>
      </c>
      <c r="Q190" s="190">
        <f t="shared" ref="Q190:Q221" si="98">Q23*Q$168</f>
        <v>0</v>
      </c>
      <c r="R190" s="189">
        <f>$C190+SUM($D190:Q190,S190:$FB190)-SUM(R$176:R189,R191:R$330)-R$331</f>
        <v>-2.4779948871924556E-18</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3.7643009875755113E-3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6.800878566681127E-9</v>
      </c>
      <c r="AM190" s="184">
        <f t="shared" si="99"/>
        <v>0</v>
      </c>
      <c r="AN190" s="184">
        <f t="shared" si="99"/>
        <v>0</v>
      </c>
      <c r="AO190" s="184">
        <f t="shared" si="99"/>
        <v>0</v>
      </c>
      <c r="AP190" s="184">
        <f t="shared" si="99"/>
        <v>4.8769152758641391E-7</v>
      </c>
      <c r="AQ190" s="184">
        <f t="shared" si="99"/>
        <v>0</v>
      </c>
      <c r="AR190" s="184">
        <f t="shared" si="99"/>
        <v>0</v>
      </c>
      <c r="AS190" s="184">
        <f t="shared" si="99"/>
        <v>0</v>
      </c>
      <c r="AT190" s="184">
        <f t="shared" si="99"/>
        <v>2.5188439135856015E-9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6.8778432885676304E-5</v>
      </c>
      <c r="F192" s="190">
        <f t="shared" si="32"/>
        <v>0</v>
      </c>
      <c r="G192" s="190">
        <f t="shared" si="38"/>
        <v>0</v>
      </c>
      <c r="H192" s="190">
        <f t="shared" si="44"/>
        <v>1.5135428339137656E-4</v>
      </c>
      <c r="I192" s="184">
        <f t="shared" si="50"/>
        <v>0</v>
      </c>
      <c r="J192" s="190">
        <f t="shared" si="56"/>
        <v>0</v>
      </c>
      <c r="K192" s="190">
        <f t="shared" si="62"/>
        <v>0</v>
      </c>
      <c r="L192" s="190">
        <f t="shared" si="68"/>
        <v>0</v>
      </c>
      <c r="M192" s="190">
        <f t="shared" si="74"/>
        <v>0</v>
      </c>
      <c r="N192" s="190">
        <f t="shared" si="80"/>
        <v>0</v>
      </c>
      <c r="O192" s="190">
        <f t="shared" si="86"/>
        <v>0</v>
      </c>
      <c r="P192" s="190">
        <f t="shared" si="92"/>
        <v>1.506164257507791E-7</v>
      </c>
      <c r="Q192" s="190">
        <f t="shared" si="98"/>
        <v>0</v>
      </c>
      <c r="R192" s="190">
        <f t="shared" si="104"/>
        <v>0</v>
      </c>
      <c r="S192" s="190">
        <f t="shared" ref="S192:S223" si="110">S25*S$168</f>
        <v>0</v>
      </c>
      <c r="T192" s="189">
        <f>$C192+SUM($D192:S192,U192:$FB192)-SUM(T$176:T191,T193:T$330)-T$331</f>
        <v>-3.7377383824430314E-21</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3.8065138384606327E-16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7.7997747747029058E-16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2.7426843947950343E-3</v>
      </c>
      <c r="G193" s="190">
        <f t="shared" si="38"/>
        <v>0</v>
      </c>
      <c r="H193" s="190">
        <f t="shared" si="44"/>
        <v>0</v>
      </c>
      <c r="I193" s="184">
        <f t="shared" si="50"/>
        <v>6.0355697534333558E-3</v>
      </c>
      <c r="J193" s="190">
        <f t="shared" si="56"/>
        <v>0</v>
      </c>
      <c r="K193" s="190">
        <f t="shared" si="62"/>
        <v>0</v>
      </c>
      <c r="L193" s="190">
        <f t="shared" si="68"/>
        <v>0</v>
      </c>
      <c r="M193" s="190">
        <f t="shared" si="74"/>
        <v>0</v>
      </c>
      <c r="N193" s="190">
        <f t="shared" si="80"/>
        <v>0</v>
      </c>
      <c r="O193" s="190">
        <f t="shared" si="86"/>
        <v>0</v>
      </c>
      <c r="P193" s="190">
        <f t="shared" si="92"/>
        <v>0</v>
      </c>
      <c r="Q193" s="190">
        <f t="shared" si="98"/>
        <v>4.9888569091828547E-3</v>
      </c>
      <c r="R193" s="190">
        <f t="shared" si="104"/>
        <v>0</v>
      </c>
      <c r="S193" s="190">
        <f t="shared" si="110"/>
        <v>0</v>
      </c>
      <c r="T193" s="190">
        <f t="shared" ref="T193:T224" si="116">T26*T$168</f>
        <v>2.2012582173084431E-4</v>
      </c>
      <c r="U193" s="189">
        <f>$C193+SUM($D193:T193,V193:$FB193)-SUM(U$176:U192,U194:U$330)-U$331</f>
        <v>6.0308745844506184E-19</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4.258547504742017E-3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3.0854089931867488E-7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1.0840602513651603E-11</v>
      </c>
      <c r="H194" s="190">
        <f t="shared" si="44"/>
        <v>0</v>
      </c>
      <c r="I194" s="184">
        <f t="shared" si="50"/>
        <v>0</v>
      </c>
      <c r="J194" s="190">
        <f t="shared" si="56"/>
        <v>8.0209067764138258E-10</v>
      </c>
      <c r="K194" s="190">
        <f t="shared" si="62"/>
        <v>0</v>
      </c>
      <c r="L194" s="190">
        <f t="shared" si="68"/>
        <v>0</v>
      </c>
      <c r="M194" s="190">
        <f t="shared" si="74"/>
        <v>0</v>
      </c>
      <c r="N194" s="190">
        <f t="shared" si="80"/>
        <v>0</v>
      </c>
      <c r="O194" s="190">
        <f t="shared" si="86"/>
        <v>0</v>
      </c>
      <c r="P194" s="190">
        <f t="shared" si="92"/>
        <v>0</v>
      </c>
      <c r="Q194" s="190">
        <f t="shared" si="98"/>
        <v>0</v>
      </c>
      <c r="R194" s="190">
        <f t="shared" si="104"/>
        <v>4.2178007264716737E-6</v>
      </c>
      <c r="S194" s="190">
        <f t="shared" si="110"/>
        <v>0</v>
      </c>
      <c r="T194" s="190">
        <f t="shared" si="116"/>
        <v>1.3181441927710217E-7</v>
      </c>
      <c r="U194" s="190">
        <f t="shared" ref="U194:U225" si="122">U27*U$168</f>
        <v>0</v>
      </c>
      <c r="V194" s="189">
        <f>$C194+SUM($D194:U194,W194:$FB194)-SUM(V$176:V193,V195:V$330)-V$331</f>
        <v>-8.2056316765260345E-22</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1.3249890710889328E-6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2.0770601488801551E-12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1.7719681328430965E-9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-1.5730749266722061E-25</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0.25618449374731816</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1.7631817217730256E-9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5.266082609234491E-8</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8.7863196978297635E-12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2.838086096948896E-4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4.1475427218299812E-20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9.400577985228729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2.8240131465000494E-4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8.0113522157779626E-3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1.4072674432600391E-6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2.4851171109314664E-8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-4.1824123295847062E-25</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1.7645820904234947E-2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2.4727944781214897E-8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5.4901413752625853E-6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1.2322475082123386E-10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4.4666466723512835E-3</v>
      </c>
      <c r="F208" s="190">
        <f t="shared" si="32"/>
        <v>0</v>
      </c>
      <c r="G208" s="190">
        <f t="shared" si="38"/>
        <v>0</v>
      </c>
      <c r="H208" s="190">
        <f t="shared" si="44"/>
        <v>9.3406631097870639E-3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6.5761398950303274E-19</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0.17811691263176632</v>
      </c>
      <c r="G209" s="190">
        <f t="shared" si="38"/>
        <v>0</v>
      </c>
      <c r="H209" s="190">
        <f t="shared" si="44"/>
        <v>0</v>
      </c>
      <c r="I209" s="184">
        <f t="shared" si="50"/>
        <v>0.37247854820641035</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1.3799057843181625E-2</v>
      </c>
      <c r="AK209" s="189">
        <f>$C209+SUM($D209:AJ209,AL209:$FB209)-SUM(AK$176:AK208,AK210:AK$330)-AK$331</f>
        <v>0</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6.6901585946724295E-10</v>
      </c>
      <c r="H210" s="190">
        <f t="shared" si="44"/>
        <v>0</v>
      </c>
      <c r="I210" s="184">
        <f t="shared" si="50"/>
        <v>0</v>
      </c>
      <c r="J210" s="190">
        <f t="shared" si="56"/>
        <v>4.9500143870892465E-8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8.2518581724783221E-6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2.1571287063785434</v>
      </c>
      <c r="D212" s="190">
        <f t="shared" si="200"/>
        <v>0</v>
      </c>
      <c r="E212" s="190">
        <f t="shared" si="206"/>
        <v>9.9258814941139608E-3</v>
      </c>
      <c r="F212" s="190">
        <f t="shared" si="212"/>
        <v>0</v>
      </c>
      <c r="G212" s="190">
        <f t="shared" ref="G212:G243" si="218">G45*G$168</f>
        <v>0</v>
      </c>
      <c r="H212" s="190">
        <f t="shared" si="44"/>
        <v>2.0757029132860143E-2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-4.226752346664965E-16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0.39581536140392509</v>
      </c>
      <c r="G213" s="190">
        <f t="shared" si="218"/>
        <v>0</v>
      </c>
      <c r="H213" s="190">
        <f t="shared" ref="H213:H244" si="224">H46*H$168</f>
        <v>0</v>
      </c>
      <c r="I213" s="184">
        <f t="shared" si="50"/>
        <v>0.82773010712535633</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2.1865040772074686</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1.4867019099272065E-9</v>
      </c>
      <c r="H214" s="190">
        <f t="shared" si="224"/>
        <v>0</v>
      </c>
      <c r="I214" s="184">
        <f t="shared" ref="I214:I245" si="230">I47*I$168</f>
        <v>0</v>
      </c>
      <c r="J214" s="190">
        <f t="shared" si="56"/>
        <v>1.1000031971309437E-7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1.3075328579463033E-3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1.6543135823523273E-3</v>
      </c>
      <c r="F216" s="190">
        <f t="shared" si="212"/>
        <v>0</v>
      </c>
      <c r="G216" s="190">
        <f t="shared" si="218"/>
        <v>0</v>
      </c>
      <c r="H216" s="190">
        <f t="shared" si="224"/>
        <v>3.4595048554766903E-3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4.3630778944010419E-19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6.5969226900654182E-2</v>
      </c>
      <c r="G217" s="190">
        <f t="shared" si="218"/>
        <v>0</v>
      </c>
      <c r="H217" s="190">
        <f t="shared" si="224"/>
        <v>0</v>
      </c>
      <c r="I217" s="184">
        <f t="shared" si="230"/>
        <v>0.13795501785422606</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5.1107621641413425E-3</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2.4778365165453439E-10</v>
      </c>
      <c r="H218" s="190">
        <f t="shared" si="224"/>
        <v>0</v>
      </c>
      <c r="I218" s="184">
        <f t="shared" si="230"/>
        <v>0</v>
      </c>
      <c r="J218" s="190">
        <f t="shared" si="236"/>
        <v>1.8333386618849061E-8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3.0562437675845638E-6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1.4141028918106271E-3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-2.5847683558624749E-19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1.2153334356699283E-12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5.6390320996538811E-2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1.380521651004414E-3</v>
      </c>
      <c r="AW221" s="189">
        <f>$C221+SUM($D221:AV221,AX221:$FB221)-SUM(AW$176:AW220,AW222:AW$330)-AW$331</f>
        <v>-1.7480682153630026E-17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8.8202243926454786E-8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2.344368666132642E-8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1.3775119175511991E-10</v>
      </c>
      <c r="AW222" s="190">
        <f t="shared" ref="AW222:AW253" si="279">AW55*AW$168</f>
        <v>0</v>
      </c>
      <c r="AX222" s="189">
        <f>$C222+SUM($D222:AW222,AY222:$FB222)-SUM(AX$176:AX221,AX223:AX$330)-AX$331</f>
        <v>-7.3471727921898662E-24</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7.1580893293939911E-13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2.2794696475454768E-5</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3.921463753453798E-2</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2.2757079523589054E-8</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1.3190571286115988E-8</v>
      </c>
      <c r="AW227" s="190">
        <f t="shared" si="279"/>
        <v>0</v>
      </c>
      <c r="AX227" s="190">
        <f t="shared" si="285"/>
        <v>0</v>
      </c>
      <c r="AY227" s="190">
        <f t="shared" si="291"/>
        <v>2.7592688391846114E-8</v>
      </c>
      <c r="AZ227" s="190">
        <f t="shared" si="297"/>
        <v>0</v>
      </c>
      <c r="BA227" s="190">
        <f t="shared" si="303"/>
        <v>0</v>
      </c>
      <c r="BB227" s="190">
        <f t="shared" ref="BB227:BB258" si="309">BB60*BB$168</f>
        <v>0</v>
      </c>
      <c r="BC227" s="189">
        <f>$C227+SUM($D227:BB227,BD227:$FB227)-SUM(BC$176:BC226,BC228:BC$330)-BC$331</f>
        <v>1.4265939681442263E-23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1.792235508211271E-15</v>
      </c>
      <c r="CB227" s="184">
        <f t="shared" si="310"/>
        <v>0</v>
      </c>
      <c r="CC227" s="184">
        <f t="shared" si="310"/>
        <v>0</v>
      </c>
      <c r="CD227" s="184">
        <f t="shared" si="310"/>
        <v>0</v>
      </c>
      <c r="CE227" s="184">
        <f t="shared" si="310"/>
        <v>1.8122550826560293E-15</v>
      </c>
      <c r="CF227" s="184">
        <f t="shared" si="310"/>
        <v>0</v>
      </c>
      <c r="CG227" s="184">
        <f t="shared" si="310"/>
        <v>0</v>
      </c>
      <c r="CH227" s="184">
        <f t="shared" si="310"/>
        <v>0</v>
      </c>
      <c r="CI227" s="184">
        <f t="shared" si="310"/>
        <v>6.6379092896713713E-16</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2.2692272943818916E-5</v>
      </c>
      <c r="AX228" s="190">
        <f t="shared" si="285"/>
        <v>0</v>
      </c>
      <c r="AY228" s="190">
        <f t="shared" si="291"/>
        <v>0</v>
      </c>
      <c r="AZ228" s="190">
        <f t="shared" si="297"/>
        <v>4.7468816926552718E-5</v>
      </c>
      <c r="BA228" s="190">
        <f t="shared" si="303"/>
        <v>0</v>
      </c>
      <c r="BB228" s="190">
        <f t="shared" si="309"/>
        <v>0</v>
      </c>
      <c r="BC228" s="190">
        <f t="shared" ref="BC228:BC259" si="315">BC61*BC$168</f>
        <v>4.0780337305602165E-8</v>
      </c>
      <c r="BD228" s="189">
        <f>$C228+SUM($D228:BC228,BE228:$FB228)-SUM(BD$176:BD227,BD229:BD$330)-BD$331</f>
        <v>2.3039296165316969E-19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5.272834019849729E-4</v>
      </c>
      <c r="CC228" s="184">
        <f t="shared" si="316"/>
        <v>0</v>
      </c>
      <c r="CD228" s="184">
        <f t="shared" si="316"/>
        <v>0</v>
      </c>
      <c r="CE228" s="184">
        <f t="shared" si="316"/>
        <v>0</v>
      </c>
      <c r="CF228" s="184">
        <f t="shared" si="316"/>
        <v>9.8339947889112427E-4</v>
      </c>
      <c r="CG228" s="184">
        <f t="shared" si="316"/>
        <v>0</v>
      </c>
      <c r="CH228" s="184">
        <f t="shared" si="316"/>
        <v>0</v>
      </c>
      <c r="CI228" s="184">
        <f t="shared" si="316"/>
        <v>0</v>
      </c>
      <c r="CJ228" s="184">
        <f t="shared" si="316"/>
        <v>1.9529014888332324E-4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3.7231169788494393E-13</v>
      </c>
      <c r="AY229" s="190">
        <f t="shared" si="291"/>
        <v>0</v>
      </c>
      <c r="AZ229" s="190">
        <f t="shared" si="297"/>
        <v>0</v>
      </c>
      <c r="BA229" s="190">
        <f t="shared" si="303"/>
        <v>2.754715355297693E-11</v>
      </c>
      <c r="BB229" s="190">
        <f t="shared" si="309"/>
        <v>0</v>
      </c>
      <c r="BC229" s="190">
        <f t="shared" si="315"/>
        <v>2.3572595999363509E-12</v>
      </c>
      <c r="BD229" s="190">
        <f t="shared" ref="BD229:BD260" si="321">BD62*BD$168</f>
        <v>0</v>
      </c>
      <c r="BE229" s="189">
        <f>$C229+SUM($D229:BD229,BF229:$FB229)-SUM(BE$176:BE228,BE230:BE$330)-BE$331</f>
        <v>6.2604001438339497E-27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4.206090218891318E-13</v>
      </c>
      <c r="CD229" s="184">
        <f t="shared" si="322"/>
        <v>0</v>
      </c>
      <c r="CE229" s="184">
        <f t="shared" si="322"/>
        <v>0</v>
      </c>
      <c r="CF229" s="184">
        <f t="shared" si="322"/>
        <v>0</v>
      </c>
      <c r="CG229" s="184">
        <f t="shared" si="322"/>
        <v>4.2554038290566161E-13</v>
      </c>
      <c r="CH229" s="184">
        <f t="shared" si="322"/>
        <v>0</v>
      </c>
      <c r="CI229" s="184">
        <f t="shared" si="322"/>
        <v>0</v>
      </c>
      <c r="CJ229" s="184">
        <f t="shared" si="322"/>
        <v>0</v>
      </c>
      <c r="CK229" s="184">
        <f t="shared" si="322"/>
        <v>1.5578111921819693E-13</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1.4509628414727586E-7</v>
      </c>
      <c r="AW231" s="190">
        <f t="shared" si="279"/>
        <v>0</v>
      </c>
      <c r="AX231" s="190">
        <f t="shared" si="285"/>
        <v>0</v>
      </c>
      <c r="AY231" s="190">
        <f t="shared" si="291"/>
        <v>3.0351957231030712E-7</v>
      </c>
      <c r="AZ231" s="190">
        <f t="shared" si="297"/>
        <v>0</v>
      </c>
      <c r="BA231" s="190">
        <f t="shared" si="303"/>
        <v>0</v>
      </c>
      <c r="BB231" s="190">
        <f t="shared" si="309"/>
        <v>0</v>
      </c>
      <c r="BC231" s="190">
        <f t="shared" si="315"/>
        <v>3.3001529727207905E-16</v>
      </c>
      <c r="BD231" s="190">
        <f t="shared" si="321"/>
        <v>0</v>
      </c>
      <c r="BE231" s="190">
        <f t="shared" si="326"/>
        <v>0</v>
      </c>
      <c r="BF231" s="190">
        <f t="shared" ref="BF231:BF262" si="331">BF64*BF$168</f>
        <v>0</v>
      </c>
      <c r="BG231" s="189">
        <f>$C231+SUM($D231:BF231,BH231:$FB231)-SUM(BG$176:BG230,BG232:BG$330)-BG$331</f>
        <v>6.7447941873420323E-23</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2.697109575233566E-18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1.9714590590323973E-14</v>
      </c>
      <c r="CB231" s="184">
        <f t="shared" si="332"/>
        <v>0</v>
      </c>
      <c r="CC231" s="184">
        <f t="shared" si="332"/>
        <v>0</v>
      </c>
      <c r="CD231" s="184">
        <f t="shared" si="332"/>
        <v>0</v>
      </c>
      <c r="CE231" s="184">
        <f t="shared" si="332"/>
        <v>1.9934805909216321E-14</v>
      </c>
      <c r="CF231" s="184">
        <f t="shared" si="332"/>
        <v>0</v>
      </c>
      <c r="CG231" s="184">
        <f t="shared" si="332"/>
        <v>0</v>
      </c>
      <c r="CH231" s="184">
        <f t="shared" si="332"/>
        <v>0</v>
      </c>
      <c r="CI231" s="184">
        <f t="shared" si="332"/>
        <v>7.301700218638506E-15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2.4961500238200802E-4</v>
      </c>
      <c r="AX232" s="190">
        <f t="shared" si="285"/>
        <v>0</v>
      </c>
      <c r="AY232" s="190">
        <f t="shared" si="291"/>
        <v>0</v>
      </c>
      <c r="AZ232" s="190">
        <f t="shared" si="297"/>
        <v>5.2215698619207968E-4</v>
      </c>
      <c r="BA232" s="190">
        <f t="shared" si="303"/>
        <v>0</v>
      </c>
      <c r="BB232" s="190">
        <f t="shared" si="309"/>
        <v>0</v>
      </c>
      <c r="BC232" s="190">
        <f t="shared" si="315"/>
        <v>0</v>
      </c>
      <c r="BD232" s="190">
        <f t="shared" si="321"/>
        <v>1.0294766943496899E-6</v>
      </c>
      <c r="BE232" s="190">
        <f t="shared" si="326"/>
        <v>0</v>
      </c>
      <c r="BF232" s="190">
        <f t="shared" si="331"/>
        <v>0</v>
      </c>
      <c r="BG232" s="190">
        <f t="shared" ref="BG232:BG263" si="336">BG65*BG$168</f>
        <v>4.4767309695132662E-7</v>
      </c>
      <c r="BH232" s="189">
        <f>$C232+SUM($D232:BG232,BI232:$FB232)-SUM(BH$176:BH231,BH233:BH$330)-BH$331</f>
        <v>-2.301388517689934E-18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1.7314517419109332E-2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5.8001174218346996E-3</v>
      </c>
      <c r="CC232" s="184">
        <f t="shared" si="337"/>
        <v>0</v>
      </c>
      <c r="CD232" s="184">
        <f t="shared" si="337"/>
        <v>0</v>
      </c>
      <c r="CE232" s="184">
        <f t="shared" si="337"/>
        <v>0</v>
      </c>
      <c r="CF232" s="184">
        <f t="shared" si="337"/>
        <v>1.0817394267802366E-2</v>
      </c>
      <c r="CG232" s="184">
        <f t="shared" si="337"/>
        <v>0</v>
      </c>
      <c r="CH232" s="184">
        <f t="shared" si="337"/>
        <v>0</v>
      </c>
      <c r="CI232" s="184">
        <f t="shared" si="337"/>
        <v>0</v>
      </c>
      <c r="CJ232" s="184">
        <f t="shared" si="337"/>
        <v>2.1481916377165552E-3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4.0954286767343822E-12</v>
      </c>
      <c r="AY233" s="190">
        <f t="shared" si="291"/>
        <v>0</v>
      </c>
      <c r="AZ233" s="190">
        <f t="shared" si="297"/>
        <v>0</v>
      </c>
      <c r="BA233" s="190">
        <f t="shared" si="303"/>
        <v>3.0301868908274615E-10</v>
      </c>
      <c r="BB233" s="190">
        <f t="shared" si="309"/>
        <v>0</v>
      </c>
      <c r="BC233" s="190">
        <f t="shared" si="315"/>
        <v>0</v>
      </c>
      <c r="BD233" s="190">
        <f t="shared" si="321"/>
        <v>0</v>
      </c>
      <c r="BE233" s="190">
        <f t="shared" si="326"/>
        <v>1.7986109341932199E-14</v>
      </c>
      <c r="BF233" s="190">
        <f t="shared" si="331"/>
        <v>0</v>
      </c>
      <c r="BG233" s="190">
        <f t="shared" si="336"/>
        <v>8.8377886642704996E-10</v>
      </c>
      <c r="BH233" s="190">
        <f t="shared" ref="BH233:BH264" si="341">BH66*BH$168</f>
        <v>0</v>
      </c>
      <c r="BI233" s="189">
        <f>$C233+SUM($D233:BH233,BJ233:$FB233)-SUM(BI$176:BI232,BI234:BI$330)-BI$331</f>
        <v>6.9475295467176598E-25</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1.065367814671523E-9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4.6266992407804489E-12</v>
      </c>
      <c r="CD233" s="184">
        <f t="shared" si="342"/>
        <v>0</v>
      </c>
      <c r="CE233" s="184">
        <f t="shared" si="342"/>
        <v>0</v>
      </c>
      <c r="CF233" s="184">
        <f t="shared" si="342"/>
        <v>0</v>
      </c>
      <c r="CG233" s="184">
        <f t="shared" si="342"/>
        <v>4.6809442119622765E-12</v>
      </c>
      <c r="CH233" s="184">
        <f t="shared" si="342"/>
        <v>0</v>
      </c>
      <c r="CI233" s="184">
        <f t="shared" si="342"/>
        <v>0</v>
      </c>
      <c r="CJ233" s="184">
        <f t="shared" si="342"/>
        <v>0</v>
      </c>
      <c r="CK233" s="184">
        <f t="shared" si="342"/>
        <v>1.7135923114001659E-12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8.2898286305695048E-10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5.3428997486581375E-6</v>
      </c>
      <c r="AW235" s="190">
        <f t="shared" si="279"/>
        <v>0</v>
      </c>
      <c r="AX235" s="190">
        <f t="shared" si="285"/>
        <v>0</v>
      </c>
      <c r="AY235" s="190">
        <f t="shared" si="291"/>
        <v>1.1757621118716323E-5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3.130314218458478E-14</v>
      </c>
      <c r="BH235" s="190">
        <f t="shared" si="341"/>
        <v>0</v>
      </c>
      <c r="BI235" s="190">
        <f t="shared" si="346"/>
        <v>0</v>
      </c>
      <c r="BJ235" s="190">
        <f t="shared" ref="BJ235:BJ266" si="351">BJ68*BJ$168</f>
        <v>0</v>
      </c>
      <c r="BK235" s="189">
        <f>$C235+SUM($D235:BJ235,BL235:$FB235)-SUM(BK$176:BK234,BK236:BK$330)-BK$331</f>
        <v>2.257459094394608E-21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1.4778869384488496E-18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2.6621177905051151E-17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5.8862713711442256E-4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9.1916063996078969E-3</v>
      </c>
      <c r="AX236" s="190">
        <f t="shared" si="285"/>
        <v>0</v>
      </c>
      <c r="AY236" s="190">
        <f t="shared" si="291"/>
        <v>0</v>
      </c>
      <c r="AZ236" s="190">
        <f t="shared" si="297"/>
        <v>2.0227110763916891E-2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1.9543778495567394E-5</v>
      </c>
      <c r="BI236" s="190">
        <f t="shared" si="346"/>
        <v>0</v>
      </c>
      <c r="BJ236" s="190">
        <f t="shared" si="351"/>
        <v>0</v>
      </c>
      <c r="BK236" s="190">
        <f t="shared" ref="BK236:BK267" si="356">BK69*BK$168</f>
        <v>1.7091016304164168E-5</v>
      </c>
      <c r="BL236" s="189">
        <f>$C236+SUM($D236:BK236,BM236:$FB236)-SUM(BL$176:BL235,BL237:BL$330)-BL$331</f>
        <v>1.0191500421363742E-17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9.2110817753683783E-3</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1.1703104954978249E-6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1.81683581165059E-7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1.5864709591294259E-10</v>
      </c>
      <c r="AY237" s="190">
        <f t="shared" si="291"/>
        <v>0</v>
      </c>
      <c r="AZ237" s="190">
        <f t="shared" si="297"/>
        <v>0</v>
      </c>
      <c r="BA237" s="190">
        <f t="shared" si="303"/>
        <v>1.1738218102398282E-8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1.1928213221508892E-12</v>
      </c>
      <c r="BJ237" s="190">
        <f t="shared" si="351"/>
        <v>0</v>
      </c>
      <c r="BK237" s="190">
        <f t="shared" si="356"/>
        <v>1.023433948491293E-8</v>
      </c>
      <c r="BL237" s="190">
        <f t="shared" ref="BL237:BL268" si="361">BL70*BL$168</f>
        <v>0</v>
      </c>
      <c r="BM237" s="189">
        <f>$C237+SUM($D237:BL237,BN237:$FB237)-SUM(BM$176:BM236,BM238:BM$330)-BM$331</f>
        <v>1.3358966892731397E-22</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6.2504895131366081E-8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6.0387745460772368E-12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5.6532034470984309E-13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-8.5494389495531274E-29</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1.7635076304474222E-3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5.6251716963771797E-13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3.1057344007691312E-11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2.803145941749713E-15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5.8984942832123336E-11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1.4052324431347917E-27</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3.6826635283013193E-2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5.8692459746921343E-11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2.2656622163927404E-9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2.9247734865915332E-13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9.6474772306859378E-11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-3.2914706661865577E-26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3.816319452575246E-2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9.5996395175522554E-11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2.5896872154307339E-7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4.7837100818126669E-13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1.425022320893498E-6</v>
      </c>
      <c r="AW251" s="190">
        <f t="shared" si="279"/>
        <v>0</v>
      </c>
      <c r="AX251" s="190">
        <f t="shared" si="285"/>
        <v>0</v>
      </c>
      <c r="AY251" s="190">
        <f t="shared" si="291"/>
        <v>2.98001034631938E-6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1.261540750828406E-22</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2.4515234977492001E-3</v>
      </c>
      <c r="AX252" s="190">
        <f t="shared" si="285"/>
        <v>0</v>
      </c>
      <c r="AY252" s="190">
        <f t="shared" si="291"/>
        <v>0</v>
      </c>
      <c r="AZ252" s="190">
        <f t="shared" si="297"/>
        <v>5.1266322280676931E-3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4.4023999993546375E-6</v>
      </c>
      <c r="CB252" s="189">
        <f>$C252+SUM($D252:CA252,CC252:$FB252)-SUM(CB$176:CB251,CB253:CB$330)-CB$331</f>
        <v>0</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4.020966337157394E-11</v>
      </c>
      <c r="AY253" s="190">
        <f t="shared" si="291"/>
        <v>0</v>
      </c>
      <c r="AZ253" s="190">
        <f t="shared" si="297"/>
        <v>0</v>
      </c>
      <c r="BA253" s="190">
        <f t="shared" si="303"/>
        <v>2.9750925837215086E-9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2.6326420851365202E-9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3.1667162686522173E-6</v>
      </c>
      <c r="AW255" s="190">
        <f t="shared" si="459"/>
        <v>0</v>
      </c>
      <c r="AX255" s="190">
        <f t="shared" ref="AX255:AX286" si="465">AX88*AX$168</f>
        <v>0</v>
      </c>
      <c r="AY255" s="190">
        <f t="shared" si="291"/>
        <v>6.6222452140430663E-6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-2.5979519541165925E-21</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5.4478299949982222E-3</v>
      </c>
      <c r="AX256" s="190">
        <f t="shared" si="465"/>
        <v>0</v>
      </c>
      <c r="AY256" s="190">
        <f t="shared" ref="AY256:AY287" si="471">AY89*AY$168</f>
        <v>0</v>
      </c>
      <c r="AZ256" s="190">
        <f t="shared" si="297"/>
        <v>1.1392516062372652E-2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9.7831111358826514E-6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8.935480749238652E-11</v>
      </c>
      <c r="AY257" s="190">
        <f t="shared" si="471"/>
        <v>0</v>
      </c>
      <c r="AZ257" s="190">
        <f t="shared" ref="AZ257:AZ288" si="477">AZ90*AZ$168</f>
        <v>0</v>
      </c>
      <c r="BA257" s="190">
        <f t="shared" si="303"/>
        <v>6.6113168527144632E-9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5.8503157604188593E-9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5.2778604477536945E-7</v>
      </c>
      <c r="AW259" s="190">
        <f t="shared" si="459"/>
        <v>0</v>
      </c>
      <c r="AX259" s="190">
        <f t="shared" si="465"/>
        <v>0</v>
      </c>
      <c r="AY259" s="190">
        <f t="shared" si="471"/>
        <v>1.1037075356738442E-6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4.3102571730067201E-22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9.0797166583303664E-4</v>
      </c>
      <c r="AX260" s="190">
        <f t="shared" si="465"/>
        <v>0</v>
      </c>
      <c r="AY260" s="190">
        <f t="shared" si="471"/>
        <v>0</v>
      </c>
      <c r="AZ260" s="190">
        <f t="shared" si="477"/>
        <v>1.8987526770621083E-3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1.6305185182794948E-6</v>
      </c>
      <c r="CJ260" s="189">
        <f>$C260+SUM($D260:CI260,CK260:$FB260)-SUM(CJ$176:CJ259,CJ261:CJ$330)-CJ$331</f>
        <v>0</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1.4892467915397753E-11</v>
      </c>
      <c r="AY261" s="190">
        <f t="shared" si="471"/>
        <v>0</v>
      </c>
      <c r="AZ261" s="190">
        <f t="shared" si="477"/>
        <v>0</v>
      </c>
      <c r="BA261" s="190">
        <f t="shared" si="483"/>
        <v>1.1018861421190769E-9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9.7505262412463681E-10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1.3607811809736394E-7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2.4408161834522336E-23</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1.8905691998318607E-16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1.6470893408243524E-16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2.3410068532513778E-4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1.3285059891598352E-7</v>
      </c>
      <c r="CN264" s="189">
        <f>$C264+SUM($D264:CM264,CO264:$FB264)-SUM(CN$176:CN263,CN265:CN$330)-CN$331</f>
        <v>1.4047289729830914E-19</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7.939096885020343E-10</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3.9845283262826196E-10</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4.2499825711292773E-10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1.3256096572439528E-14</v>
      </c>
      <c r="CN265" s="190">
        <f t="shared" ref="CN265:CN296" si="522">CN98*CN$168</f>
        <v>0</v>
      </c>
      <c r="CO265" s="189">
        <f>$C265+SUM($D265:CN265,CP265:$FB265)-SUM(CO$176:CO264,CO266:CO$330)-CO$331</f>
        <v>1.3589982915559198E-25</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5.2134112610153295E-14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1.0560415708039728E-14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2.1935831840586923E-9</v>
      </c>
      <c r="CN266" s="190">
        <f t="shared" si="522"/>
        <v>0</v>
      </c>
      <c r="CO266" s="190">
        <f t="shared" ref="CO266:CO297" si="527">CO99*CO$168</f>
        <v>0</v>
      </c>
      <c r="CP266" s="189">
        <f>$C266+SUM($D266:CO266,CQ266:$FB266)-SUM(CP$176:CP265,CP267:CP$330)-CP$331</f>
        <v>4.1359030627651384E-25</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1.5919825275063175E-4</v>
      </c>
      <c r="CO267" s="190">
        <f t="shared" si="527"/>
        <v>0</v>
      </c>
      <c r="CP267" s="190">
        <f t="shared" ref="CP267:CP298" si="532">CP100*CP$168</f>
        <v>0</v>
      </c>
      <c r="CQ267" s="189">
        <f>$C267+SUM($D267:CP267,CR267:$FB267)-SUM(CQ$176:CQ266,CQ268:CQ$330)-CQ$331</f>
        <v>2.7105054312137611E-20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4.1299009402807405E-10</v>
      </c>
      <c r="CP268" s="190">
        <f t="shared" si="532"/>
        <v>0</v>
      </c>
      <c r="CQ268" s="190">
        <f t="shared" ref="CQ268:CQ299" si="537">CQ101*CQ$168</f>
        <v>0</v>
      </c>
      <c r="CR268" s="189">
        <f>$C268+SUM($D268:CQ268,CS268:$FB268)-SUM(CR$176:CR267,CR269:CR$330)-CR$331</f>
        <v>-5.169878828456423E-26</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1.4890481047972147E-12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4.9840418076201291E-10</v>
      </c>
      <c r="CN270" s="190">
        <f t="shared" si="522"/>
        <v>0</v>
      </c>
      <c r="CO270" s="190">
        <f t="shared" si="527"/>
        <v>0</v>
      </c>
      <c r="CP270" s="190">
        <f t="shared" si="532"/>
        <v>1.0967915920293459E-9</v>
      </c>
      <c r="CQ270" s="190">
        <f t="shared" si="537"/>
        <v>0</v>
      </c>
      <c r="CR270" s="190">
        <f t="shared" si="542"/>
        <v>0</v>
      </c>
      <c r="CS270" s="190">
        <f t="shared" ref="CS270:CS301" si="547">CS103*CS$168</f>
        <v>0</v>
      </c>
      <c r="CT270" s="189">
        <f>$C270+SUM($D270:CS270,CU270:$FB270)-SUM(CT$176:CT269,CT271:CT$330)-CT$331</f>
        <v>2.9097368682158258E-25</v>
      </c>
      <c r="CU270" s="184">
        <f t="shared" ref="CU270:DZ270" si="548">CU103*CU$168</f>
        <v>0</v>
      </c>
      <c r="CV270" s="184">
        <f t="shared" si="548"/>
        <v>0</v>
      </c>
      <c r="CW270" s="184">
        <f t="shared" si="548"/>
        <v>0</v>
      </c>
      <c r="CX270" s="184">
        <f t="shared" si="548"/>
        <v>4.3593328720833595E-22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7.9155785701365093E-18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6.0104377992902376E-21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5.8903270242236048E-4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3.6171445736072668E-5</v>
      </c>
      <c r="CO271" s="190">
        <f t="shared" si="527"/>
        <v>0</v>
      </c>
      <c r="CP271" s="190">
        <f t="shared" si="532"/>
        <v>0</v>
      </c>
      <c r="CQ271" s="190">
        <f t="shared" si="537"/>
        <v>7.959912637531586E-5</v>
      </c>
      <c r="CR271" s="190">
        <f t="shared" si="542"/>
        <v>0</v>
      </c>
      <c r="CS271" s="190">
        <f t="shared" si="547"/>
        <v>0</v>
      </c>
      <c r="CT271" s="190">
        <f t="shared" ref="CT271:CT302" si="552">CT104*CT$168</f>
        <v>1.5957098726415846E-9</v>
      </c>
      <c r="CU271" s="189">
        <f>$C271+SUM($D271:CT271,CV271:$FB271)-SUM(CU$176:CU270,CU272:CU$330)-CU$331</f>
        <v>2.0667603913004928E-19</v>
      </c>
      <c r="CV271" s="184">
        <f t="shared" ref="CV271:EA271" si="553">CV104*CV$168</f>
        <v>0</v>
      </c>
      <c r="CW271" s="184">
        <f t="shared" si="553"/>
        <v>0</v>
      </c>
      <c r="CX271" s="184">
        <f t="shared" si="553"/>
        <v>0</v>
      </c>
      <c r="CY271" s="184">
        <f t="shared" si="553"/>
        <v>5.0862718023202E-5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9.8187282967595007E-5</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3.5793261373078535E-9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3.9652971625166214E-9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2.7908698955329704E-12</v>
      </c>
      <c r="CP272" s="190">
        <f t="shared" si="532"/>
        <v>0</v>
      </c>
      <c r="CQ272" s="190">
        <f t="shared" si="537"/>
        <v>0</v>
      </c>
      <c r="CR272" s="190">
        <f t="shared" si="542"/>
        <v>2.0649504701403705E-10</v>
      </c>
      <c r="CS272" s="190">
        <f t="shared" si="547"/>
        <v>0</v>
      </c>
      <c r="CT272" s="190">
        <f t="shared" si="552"/>
        <v>9.5553337878813864E-13</v>
      </c>
      <c r="CU272" s="190">
        <f t="shared" ref="CU272:CU303" si="557">CU105*CU$168</f>
        <v>0</v>
      </c>
      <c r="CV272" s="189">
        <f>$C272+SUM($D272:CU272,CW272:$FB272)-SUM(CV$176:CV271,CV273:CV$330)-CV$331</f>
        <v>2.7594228246886158E-24</v>
      </c>
      <c r="CW272" s="184">
        <f t="shared" ref="CW272:EB272" si="558">CW105*CW$168</f>
        <v>0</v>
      </c>
      <c r="CX272" s="184">
        <f t="shared" si="558"/>
        <v>0</v>
      </c>
      <c r="CY272" s="184">
        <f t="shared" si="558"/>
        <v>0</v>
      </c>
      <c r="CZ272" s="184">
        <f t="shared" si="558"/>
        <v>2.628897859224946E-10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1.8789510456947855E-13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1.9499381303279989E-14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1.9107634415925713E-14</v>
      </c>
      <c r="CU274" s="190">
        <f t="shared" si="557"/>
        <v>0</v>
      </c>
      <c r="CV274" s="190">
        <f t="shared" si="563"/>
        <v>0</v>
      </c>
      <c r="CW274" s="190">
        <f t="shared" ref="CW274:CW305" si="569">CW107*CW$168</f>
        <v>0</v>
      </c>
      <c r="CX274" s="189">
        <f>$C274+SUM($D274:CW274,CY274:$FB274)-SUM(CX$176:CX273,CX275:CX$330)-CX$331</f>
        <v>-6.7869250261109907E-30</v>
      </c>
      <c r="CY274" s="184">
        <f t="shared" ref="CY274:ED274" si="570">CY107*CY$168</f>
        <v>0</v>
      </c>
      <c r="CZ274" s="184">
        <f t="shared" si="570"/>
        <v>0</v>
      </c>
      <c r="DA274" s="184">
        <f t="shared" si="570"/>
        <v>0</v>
      </c>
      <c r="DB274" s="184">
        <f t="shared" si="570"/>
        <v>1.2135787412545223E-28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2.3947929531978631E-27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8.4000335267721369E-4</v>
      </c>
      <c r="CV275" s="190">
        <f t="shared" si="563"/>
        <v>0</v>
      </c>
      <c r="CW275" s="190">
        <f t="shared" si="569"/>
        <v>0</v>
      </c>
      <c r="CX275" s="190">
        <f t="shared" ref="CX275:CX306" si="575">CX108*CX$168</f>
        <v>1.9096190237706538E-14</v>
      </c>
      <c r="CY275" s="189">
        <f>$C275+SUM($D275:CX275,CZ275:$FB275)-SUM(CY$176:CY274,CY276:CY$330)-CY$331</f>
        <v>-3.5236570605778894E-19</v>
      </c>
      <c r="CZ275" s="184">
        <f t="shared" ref="CZ275:EE275" si="576">CZ108*CZ$168</f>
        <v>0</v>
      </c>
      <c r="DA275" s="184">
        <f t="shared" si="576"/>
        <v>0</v>
      </c>
      <c r="DB275" s="184">
        <f t="shared" si="576"/>
        <v>0</v>
      </c>
      <c r="DC275" s="184">
        <f t="shared" si="576"/>
        <v>2.2309315196424666E-4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1.1552209497468918E-7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4.3671438150133668E-9</v>
      </c>
      <c r="CW276" s="190">
        <f t="shared" si="569"/>
        <v>0</v>
      </c>
      <c r="CX276" s="190">
        <f t="shared" si="575"/>
        <v>1.1435065667426186E-17</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1.1623225063591277E-9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5.9377658651862429E-13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7.1862338760289283E-21</v>
      </c>
      <c r="CY278" s="190">
        <f t="shared" si="581"/>
        <v>0</v>
      </c>
      <c r="CZ278" s="190">
        <f t="shared" si="587"/>
        <v>0</v>
      </c>
      <c r="DA278" s="190">
        <f t="shared" ref="DA278:DA309" si="593">DA111*DA$168</f>
        <v>0</v>
      </c>
      <c r="DB278" s="189">
        <f>$C278+SUM($D278:DA278,DC278:$FB278)-SUM(DB$176:DB277,DB279:DB$330)-DB$331</f>
        <v>1.0373273984370811E-36</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8.384577036025686E-4</v>
      </c>
      <c r="CZ279" s="190">
        <f t="shared" si="587"/>
        <v>0</v>
      </c>
      <c r="DA279" s="190">
        <f t="shared" si="593"/>
        <v>0</v>
      </c>
      <c r="DB279" s="190">
        <f t="shared" ref="DB279:DB310" si="599">DB112*DB$168</f>
        <v>7.1506004159592217E-21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4.3683916379631082E-9</v>
      </c>
      <c r="DA280" s="190">
        <f t="shared" si="593"/>
        <v>0</v>
      </c>
      <c r="DB280" s="190">
        <f t="shared" si="599"/>
        <v>3.5633003966757308E-23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5.2447888375305152E-10</v>
      </c>
      <c r="CN282" s="190">
        <f t="shared" si="522"/>
        <v>0</v>
      </c>
      <c r="CO282" s="190">
        <f t="shared" si="527"/>
        <v>0</v>
      </c>
      <c r="CP282" s="190">
        <f t="shared" si="532"/>
        <v>1.0967915920293459E-9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-4.2443461266616984E-25</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3.8063804858291124E-5</v>
      </c>
      <c r="CO283" s="190">
        <f t="shared" si="527"/>
        <v>0</v>
      </c>
      <c r="CP283" s="190">
        <f t="shared" si="532"/>
        <v>0</v>
      </c>
      <c r="CQ283" s="190">
        <f t="shared" si="537"/>
        <v>7.959912637531586E-5</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1.6203015234513797E-9</v>
      </c>
      <c r="DG283" s="189">
        <f>$C283+SUM($D283:DF283,DH283:$FB283)-SUM(DG$176:DG282,DG284:DG$330)-DG$331</f>
        <v>-3.3881317890172014E-20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2.7908698955329704E-12</v>
      </c>
      <c r="CP284" s="190">
        <f t="shared" si="532"/>
        <v>0</v>
      </c>
      <c r="CQ284" s="190">
        <f t="shared" si="537"/>
        <v>0</v>
      </c>
      <c r="CR284" s="190">
        <f t="shared" si="542"/>
        <v>2.0649504701403705E-10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9.6894284523765216E-13</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3.5948179907161552E-12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-6.1229598126196489E-28</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2.6089219960740678E-7</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3.5326894842308595E-12</v>
      </c>
      <c r="DK287" s="189">
        <f>$C287+SUM($D287:DJ287,DL287:$FB287)-SUM(DK$176:DK286,DK288:DK$330)-DK$331</f>
        <v>-9.7444037006538241E-23</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2.1172813604255522E-12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3.5250094742032453E-19</v>
      </c>
      <c r="DK288" s="190">
        <f t="shared" ref="DK288:DK330" si="647">DK121*DK$168</f>
        <v>0</v>
      </c>
      <c r="DL288" s="189">
        <f>$C288+SUM($D288:DK288,DM288:$FB288)-SUM(DL$176:DL287,DL289:DL$330)-DL$331</f>
        <v>8.3659315296270506E-29</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3.2616522073175336E-14</v>
      </c>
      <c r="DK289" s="190">
        <f t="shared" si="647"/>
        <v>0</v>
      </c>
      <c r="DL289" s="190">
        <f t="shared" ref="DL289:DL330" si="652">DL122*DL$168</f>
        <v>0</v>
      </c>
      <c r="DM289" s="189">
        <f>$C289+SUM($D289:DL289,DN289:$FB289)-SUM(DM$176:DM288,DM290:DM$330)-DM$331</f>
        <v>6.3108872417680944E-30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1.3696707286251058E-7</v>
      </c>
      <c r="DL290" s="190">
        <f t="shared" si="652"/>
        <v>0</v>
      </c>
      <c r="DM290" s="190">
        <f t="shared" ref="DM290:DM330" si="657">DM123*DM$168</f>
        <v>0</v>
      </c>
      <c r="DN290" s="189">
        <f>$C290+SUM($D290:DM290,DO290:$FB290)-SUM(DN$176:DN289,DN291:DN$330)-DN$331</f>
        <v>2.6469779601696886E-23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1.9898188791708485E-12</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1.696582276914473E-16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1.7232794978341402E-14</v>
      </c>
      <c r="DK293" s="190">
        <f t="shared" si="647"/>
        <v>0</v>
      </c>
      <c r="DL293" s="190">
        <f t="shared" si="652"/>
        <v>0</v>
      </c>
      <c r="DM293" s="190">
        <f t="shared" si="657"/>
        <v>1.9569913243905198E-14</v>
      </c>
      <c r="DN293" s="190">
        <f t="shared" si="662"/>
        <v>0</v>
      </c>
      <c r="DO293" s="190">
        <f t="shared" si="667"/>
        <v>0</v>
      </c>
      <c r="DP293" s="190">
        <f t="shared" ref="DP293:DP330" si="672">DP126*DP$168</f>
        <v>0</v>
      </c>
      <c r="DQ293" s="189">
        <f>$C293+SUM($D293:DP293,DR293:$FB293)-SUM(DQ$176:DQ292,DQ294:DQ$330)-DQ$331</f>
        <v>-8.0422771969134527E-31</v>
      </c>
      <c r="DR293" s="184">
        <f t="shared" ref="DR293:FB293" si="673">DR126*DR$168</f>
        <v>0</v>
      </c>
      <c r="DS293" s="184">
        <f t="shared" si="673"/>
        <v>0</v>
      </c>
      <c r="DT293" s="184">
        <f t="shared" si="673"/>
        <v>0</v>
      </c>
      <c r="DU293" s="184">
        <f t="shared" si="673"/>
        <v>1.0962023635934325E-26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4.3842243130727268E-23</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7.4584530114719944E-6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7.236594664720422E-8</v>
      </c>
      <c r="DL294" s="190">
        <f t="shared" si="652"/>
        <v>0</v>
      </c>
      <c r="DM294" s="190">
        <f t="shared" si="657"/>
        <v>0</v>
      </c>
      <c r="DN294" s="190">
        <f t="shared" si="662"/>
        <v>8.218024371750633E-8</v>
      </c>
      <c r="DO294" s="190">
        <f t="shared" si="667"/>
        <v>0</v>
      </c>
      <c r="DP294" s="190">
        <f t="shared" si="672"/>
        <v>0</v>
      </c>
      <c r="DQ294" s="190">
        <f t="shared" ref="DQ294:DQ330" si="677">DQ127*DQ$168</f>
        <v>3.6949792480837653E-14</v>
      </c>
      <c r="DR294" s="189">
        <f>$C294+SUM($D294:DQ294,DS294:$FB294)-SUM(DR$176:DR293,DR295:DR$330)-DR$331</f>
        <v>-1.5220123270975709E-22</v>
      </c>
      <c r="DS294" s="184">
        <f t="shared" ref="DS294:FB294" si="678">DS127*DS$168</f>
        <v>0</v>
      </c>
      <c r="DT294" s="184">
        <f t="shared" si="678"/>
        <v>0</v>
      </c>
      <c r="DU294" s="184">
        <f t="shared" si="678"/>
        <v>0</v>
      </c>
      <c r="DV294" s="184">
        <f t="shared" si="678"/>
        <v>5.2879558288919177E-7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6.840141139535693E-8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3.8485441574743106E-11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4.5180681839147494E-14</v>
      </c>
      <c r="DM295" s="190">
        <f t="shared" si="657"/>
        <v>0</v>
      </c>
      <c r="DN295" s="190">
        <f t="shared" si="662"/>
        <v>0</v>
      </c>
      <c r="DO295" s="190">
        <f t="shared" si="667"/>
        <v>1.1938913275025092E-12</v>
      </c>
      <c r="DP295" s="190">
        <f t="shared" si="672"/>
        <v>0</v>
      </c>
      <c r="DQ295" s="190">
        <f t="shared" si="677"/>
        <v>2.2126747684432153E-17</v>
      </c>
      <c r="DR295" s="190">
        <f t="shared" ref="DR295:DR330" si="682">DR128*DR$168</f>
        <v>0</v>
      </c>
      <c r="DS295" s="189">
        <f>$C295+SUM($D295:DR295,DT295:$FB295)-SUM(DS$176:DS294,DS296:DS$330)-DS$331</f>
        <v>-7.6740388859900028E-27</v>
      </c>
      <c r="DT295" s="184">
        <f t="shared" ref="DT295:FB295" si="683">DT128*DT$168</f>
        <v>0</v>
      </c>
      <c r="DU295" s="184">
        <f t="shared" si="683"/>
        <v>0</v>
      </c>
      <c r="DV295" s="184">
        <f t="shared" si="683"/>
        <v>0</v>
      </c>
      <c r="DW295" s="184">
        <f t="shared" si="683"/>
        <v>2.7179773379530968E-12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7.3821461961649771E-16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4.4451233499976207E-19</v>
      </c>
      <c r="DR297" s="190">
        <f t="shared" si="682"/>
        <v>0</v>
      </c>
      <c r="DS297" s="190">
        <f t="shared" si="687"/>
        <v>0</v>
      </c>
      <c r="DT297" s="190">
        <f t="shared" ref="DT297:DT330" si="692">DT130*DT$168</f>
        <v>0</v>
      </c>
      <c r="DU297" s="189">
        <f>$C297+SUM($D297:DT297,DV297:$FB297)-SUM(DU$176:DU296,DU298:DU$330)-DU$331</f>
        <v>-5.7231841027630554E-35</v>
      </c>
      <c r="DV297" s="184">
        <f t="shared" ref="DV297:FB297" si="693">DV130*DV$168</f>
        <v>0</v>
      </c>
      <c r="DW297" s="184">
        <f t="shared" si="693"/>
        <v>0</v>
      </c>
      <c r="DX297" s="184">
        <f t="shared" si="693"/>
        <v>0</v>
      </c>
      <c r="DY297" s="184">
        <f t="shared" si="693"/>
        <v>2.8236226006272691E-33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8.1596622039503381E-6</v>
      </c>
      <c r="DS298" s="190">
        <f t="shared" si="687"/>
        <v>0</v>
      </c>
      <c r="DT298" s="190">
        <f t="shared" si="692"/>
        <v>0</v>
      </c>
      <c r="DU298" s="190">
        <f t="shared" ref="DU298:DU330" si="697">DU131*DU$168</f>
        <v>4.4424609223009451E-19</v>
      </c>
      <c r="DV298" s="189">
        <f>$C298+SUM($D298:DU298,DW298:$FB298)-SUM(DV$176:DV297,DV299:DV$330)-DV$331</f>
        <v>3.3881317890172014E-21</v>
      </c>
      <c r="DW298" s="184">
        <f t="shared" ref="DW298:FB298" si="698">DW131*DW$168</f>
        <v>0</v>
      </c>
      <c r="DX298" s="184">
        <f t="shared" si="698"/>
        <v>0</v>
      </c>
      <c r="DY298" s="184">
        <f t="shared" si="698"/>
        <v>0</v>
      </c>
      <c r="DZ298" s="184">
        <f t="shared" si="698"/>
        <v>2.1460192771750468E-6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4.2183949647583147E-11</v>
      </c>
      <c r="DT299" s="190">
        <f t="shared" si="692"/>
        <v>0</v>
      </c>
      <c r="DU299" s="190">
        <f t="shared" si="697"/>
        <v>2.6602913122361968E-22</v>
      </c>
      <c r="DV299" s="190">
        <f t="shared" ref="DV299:DV330" si="702">DV132*DV$168</f>
        <v>0</v>
      </c>
      <c r="DW299" s="189">
        <f>$C299+SUM($D299:DV299,DX299:$FB299)-SUM(DW$176:DW298,DW300:DW$330)-DW$331</f>
        <v>0</v>
      </c>
      <c r="DX299" s="184">
        <f t="shared" ref="DX299:FB299" si="703">DX132*DX$168</f>
        <v>0</v>
      </c>
      <c r="DY299" s="184">
        <f t="shared" si="703"/>
        <v>0</v>
      </c>
      <c r="DZ299" s="184">
        <f t="shared" si="703"/>
        <v>0</v>
      </c>
      <c r="EA299" s="184">
        <f t="shared" si="703"/>
        <v>1.1118799295617335E-11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1.671831967773507E-25</v>
      </c>
      <c r="DV301" s="190">
        <f t="shared" si="702"/>
        <v>0</v>
      </c>
      <c r="DW301" s="190">
        <f t="shared" si="707"/>
        <v>0</v>
      </c>
      <c r="DX301" s="190">
        <f t="shared" ref="DX301:DX330" si="712">DX134*DX$168</f>
        <v>0</v>
      </c>
      <c r="DY301" s="189">
        <f>$C301+SUM($D301:DX301,DZ301:$FB301)-SUM(DY$176:DY300,DY302:DY$330)-DY$331</f>
        <v>-4.1450434575383189E-41</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8.0647329286167654E-6</v>
      </c>
      <c r="DW302" s="190">
        <f t="shared" si="707"/>
        <v>0</v>
      </c>
      <c r="DX302" s="190">
        <f t="shared" si="712"/>
        <v>0</v>
      </c>
      <c r="DY302" s="190">
        <f t="shared" ref="DY302:DY330" si="717">DY135*DY$168</f>
        <v>1.6635065530133301E-25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4.1784408816720896E-11</v>
      </c>
      <c r="DX303" s="190">
        <f t="shared" si="712"/>
        <v>0</v>
      </c>
      <c r="DY303" s="190">
        <f t="shared" si="717"/>
        <v>8.3253086485386262E-28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1.2089679980700926E-14</v>
      </c>
      <c r="DK305" s="190">
        <f t="shared" si="647"/>
        <v>0</v>
      </c>
      <c r="DL305" s="190">
        <f t="shared" si="652"/>
        <v>0</v>
      </c>
      <c r="DM305" s="190">
        <f t="shared" si="657"/>
        <v>1.304660882927013E-14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-2.0691495282903981E-30</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5.0768383032104853E-8</v>
      </c>
      <c r="DL306" s="190">
        <f t="shared" si="652"/>
        <v>0</v>
      </c>
      <c r="DM306" s="190">
        <f t="shared" si="657"/>
        <v>0</v>
      </c>
      <c r="DN306" s="190">
        <f t="shared" si="662"/>
        <v>5.4786829145004213E-8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2.5121201564574951E-14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3.0120454559431669E-14</v>
      </c>
      <c r="DM307" s="190">
        <f t="shared" si="657"/>
        <v>0</v>
      </c>
      <c r="DN307" s="190">
        <f t="shared" si="662"/>
        <v>0</v>
      </c>
      <c r="DO307" s="190">
        <f t="shared" si="667"/>
        <v>7.9592755166833941E-13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1.5087177739925908E-17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6.2264074038830455E-12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-8.5239203777899965E-29</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4.5187854501842965E-7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6.0396107191456631E-12</v>
      </c>
      <c r="EH310" s="189">
        <f>$C310+SUM($D310:EG310,EI310:$FB310)-SUM(EH$176:EH309,EH311:EH$330)-EH$331</f>
        <v>1.6969218486645394E-23</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3.6672388901756092E-12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6.0264222068111187E-19</v>
      </c>
      <c r="EH311" s="190">
        <f t="shared" ref="EH311:EH330" si="769">EH144*EH$168</f>
        <v>0</v>
      </c>
      <c r="EI311" s="189">
        <f>$C311+SUM($D311:EH311,EJ311:$FB311)-SUM(EI$176:EI310,EI312:EI$330)-EI$331</f>
        <v>-5.8455825672041383E-28</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1.4260928646094733E-13</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3.4499084447590055E-7</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3.6302501063423002E-12</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3.0339224567100014E-14</v>
      </c>
      <c r="EH316" s="190">
        <f t="shared" si="769"/>
        <v>0</v>
      </c>
      <c r="EI316" s="190">
        <f t="shared" si="775"/>
        <v>0</v>
      </c>
      <c r="EJ316" s="190">
        <f t="shared" si="781"/>
        <v>9.9826500522663126E-14</v>
      </c>
      <c r="EK316" s="190">
        <f t="shared" si="787"/>
        <v>0</v>
      </c>
      <c r="EL316" s="190">
        <f t="shared" si="792"/>
        <v>0</v>
      </c>
      <c r="EM316" s="190">
        <f t="shared" ref="EM316:EM330" si="797">EM149*EM$168</f>
        <v>0</v>
      </c>
      <c r="EN316" s="189">
        <f>$C316+SUM($D316:EM316,EO316:$FB316)-SUM(EN$176:EN315,EN317:EN$330)-EN$331</f>
        <v>2.6788024411849417E-29</v>
      </c>
      <c r="EO316" s="190">
        <f t="shared" ref="EO316:FB316" si="798">EO149*EO$168</f>
        <v>0</v>
      </c>
      <c r="EP316" s="190">
        <f t="shared" si="798"/>
        <v>0</v>
      </c>
      <c r="EQ316" s="190">
        <f t="shared" si="798"/>
        <v>0</v>
      </c>
      <c r="ER316" s="190">
        <f t="shared" si="798"/>
        <v>3.2256146305778653E-26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5.1193936092997597E-22</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7.3394622560732061E-8</v>
      </c>
      <c r="EI317" s="190">
        <f t="shared" si="775"/>
        <v>0</v>
      </c>
      <c r="EJ317" s="190">
        <f t="shared" si="781"/>
        <v>0</v>
      </c>
      <c r="EK317" s="190">
        <f t="shared" si="787"/>
        <v>2.4149359113313037E-7</v>
      </c>
      <c r="EL317" s="190">
        <f t="shared" si="792"/>
        <v>0</v>
      </c>
      <c r="EM317" s="190">
        <f t="shared" si="797"/>
        <v>0</v>
      </c>
      <c r="EN317" s="190">
        <f t="shared" ref="EN317:EN330" si="802">EN150*EN$168</f>
        <v>1.3008626402154276E-13</v>
      </c>
      <c r="EO317" s="189">
        <f>$C317+SUM($D317:EN317,EP317:$FB317)-SUM(EO$176:EO316,EO318:EO$330)-EO$331</f>
        <v>1.2159555004529507E-22</v>
      </c>
      <c r="EP317" s="190">
        <f t="shared" ref="EP317:FB317" si="803">EP150*EP$168</f>
        <v>0</v>
      </c>
      <c r="EQ317" s="190">
        <f t="shared" si="803"/>
        <v>0</v>
      </c>
      <c r="ER317" s="190">
        <f t="shared" si="803"/>
        <v>0</v>
      </c>
      <c r="ES317" s="190">
        <f t="shared" si="803"/>
        <v>4.9435937396262286E-7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1.2306866173751414E-7</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1.8493504889788595E-14</v>
      </c>
      <c r="EJ318" s="190">
        <f t="shared" si="781"/>
        <v>0</v>
      </c>
      <c r="EK318" s="190">
        <f t="shared" si="787"/>
        <v>0</v>
      </c>
      <c r="EL318" s="190">
        <f t="shared" si="792"/>
        <v>2.54117507443961E-12</v>
      </c>
      <c r="EM318" s="190">
        <f t="shared" si="797"/>
        <v>0</v>
      </c>
      <c r="EN318" s="190">
        <f t="shared" si="802"/>
        <v>7.7896026787635892E-17</v>
      </c>
      <c r="EO318" s="190">
        <f t="shared" ref="EO318:EO330" si="807">EO151*EO$168</f>
        <v>0</v>
      </c>
      <c r="EP318" s="189">
        <f>$C318+SUM($D318:EO318,EQ318:$FB318)-SUM(EP$176:EP317,EP319:EP$330)-EP$331</f>
        <v>1.5146129380243427E-28</v>
      </c>
      <c r="EQ318" s="190">
        <f t="shared" ref="EQ318:FB318" si="808">EQ151*EQ$168</f>
        <v>0</v>
      </c>
      <c r="ER318" s="190">
        <f t="shared" si="808"/>
        <v>0</v>
      </c>
      <c r="ES318" s="190">
        <f t="shared" si="808"/>
        <v>0</v>
      </c>
      <c r="ET318" s="190">
        <f t="shared" si="808"/>
        <v>2.5565066973989674E-12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9.803692986232493E-16</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6.7677837242111067E-23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1.5498514360907478E-18</v>
      </c>
      <c r="EO320" s="190">
        <f t="shared" si="807"/>
        <v>0</v>
      </c>
      <c r="EP320" s="190">
        <f t="shared" si="812"/>
        <v>0</v>
      </c>
      <c r="EQ320" s="190">
        <f t="shared" ref="EQ320:EQ330" si="817">EQ153*EQ$168</f>
        <v>0</v>
      </c>
      <c r="ER320" s="189">
        <f>$C320+SUM($D320:EQ320,ES320:$FB320)-SUM(ER$176:ER319,ER321:ER$330)-ER$331</f>
        <v>2.5309823711056511E-34</v>
      </c>
      <c r="ES320" s="190">
        <f t="shared" ref="ES320:FB320" si="818">ES153*ES$168</f>
        <v>0</v>
      </c>
      <c r="ET320" s="190">
        <f t="shared" si="818"/>
        <v>0</v>
      </c>
      <c r="EU320" s="190">
        <f t="shared" si="818"/>
        <v>0</v>
      </c>
      <c r="EV320" s="190">
        <f t="shared" si="818"/>
        <v>9.8445198738856272E-33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7.8963429797013012E-6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9.2296556891285337E-7</v>
      </c>
      <c r="EP321" s="190">
        <f t="shared" si="812"/>
        <v>0</v>
      </c>
      <c r="EQ321" s="190">
        <f t="shared" si="817"/>
        <v>0</v>
      </c>
      <c r="ER321" s="190">
        <f t="shared" ref="ER321:ER330" si="822">ER154*ER$168</f>
        <v>1.5489908432243973E-18</v>
      </c>
      <c r="ES321" s="189">
        <f>$C321+SUM($D321:ER321,ET321:$FB321)-SUM(ES$176:ES320,ES322:ES$330)-ES$331</f>
        <v>2.1175823681357508E-21</v>
      </c>
      <c r="ET321" s="190">
        <f t="shared" ref="ET321:FB321" si="823">ET154*ET$168</f>
        <v>0</v>
      </c>
      <c r="EU321" s="190">
        <f t="shared" si="823"/>
        <v>0</v>
      </c>
      <c r="EV321" s="190">
        <f t="shared" si="823"/>
        <v>0</v>
      </c>
      <c r="EW321" s="190">
        <f t="shared" si="823"/>
        <v>2.3772734068412985E-6</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4.0813153448805502E-11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5.0662923833680228E-12</v>
      </c>
      <c r="EQ322" s="190">
        <f t="shared" si="817"/>
        <v>0</v>
      </c>
      <c r="ER322" s="190">
        <f t="shared" si="822"/>
        <v>9.2754014518880019E-22</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1.2392232498977668E-11</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5.8290121380442868E-25</v>
      </c>
      <c r="ES324" s="190">
        <f t="shared" si="827"/>
        <v>0</v>
      </c>
      <c r="ET324" s="190">
        <f t="shared" si="832"/>
        <v>0</v>
      </c>
      <c r="EU324" s="190">
        <f t="shared" ref="EU324:EU330" si="837">EU157*EU$168</f>
        <v>0</v>
      </c>
      <c r="EV324" s="189">
        <f>$C324+SUM($D324:EU324,EW324:$FB324)-SUM(EV$176:EV323,EV325:EV$330)-EV$331</f>
        <v>-1.0008151360482037E-40</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8.9335800431428513E-6</v>
      </c>
      <c r="ET325" s="190">
        <f t="shared" si="832"/>
        <v>0</v>
      </c>
      <c r="EU325" s="190">
        <f t="shared" si="837"/>
        <v>0</v>
      </c>
      <c r="EV325" s="190">
        <f t="shared" ref="EV325:EV330" si="842">EV158*EV$168</f>
        <v>5.8001771267682625E-25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4.6568897218242296E-11</v>
      </c>
      <c r="EU326" s="190">
        <f t="shared" si="837"/>
        <v>0</v>
      </c>
      <c r="EV326" s="190">
        <f t="shared" si="842"/>
        <v>2.8834641327806577E-27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1.3682711185922527E-14</v>
      </c>
      <c r="EH328" s="190">
        <f t="shared" si="769"/>
        <v>0</v>
      </c>
      <c r="EI328" s="190">
        <f t="shared" si="775"/>
        <v>0</v>
      </c>
      <c r="EJ328" s="190">
        <f t="shared" si="781"/>
        <v>4.2782785938284204E-14</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-1.4772495811303488E-30</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3.310029959873963E-8</v>
      </c>
      <c r="EI329" s="190">
        <f t="shared" si="775"/>
        <v>0</v>
      </c>
      <c r="EJ329" s="190">
        <f t="shared" si="781"/>
        <v>0</v>
      </c>
      <c r="EK329" s="190">
        <f t="shared" si="787"/>
        <v>1.0349725334277018E-7</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5.6431830658933253E-14</v>
      </c>
      <c r="FA329" s="189">
        <f>$C329+SUM($D329:EZ329,FB329:$FB329)-SUM(FA$176:FA328,FA330:FA$330)-FA$331</f>
        <v>-1.3234889800848443E-23</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7.9257878099093979E-15</v>
      </c>
      <c r="EJ330" s="190">
        <f t="shared" si="781"/>
        <v>0</v>
      </c>
      <c r="EK330" s="190">
        <f t="shared" si="787"/>
        <v>0</v>
      </c>
      <c r="EL330" s="190">
        <f t="shared" si="792"/>
        <v>1.0890750319026903E-12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3.3665897056586461E-17</v>
      </c>
      <c r="FA330" s="190">
        <f>FA163*FA$168</f>
        <v>0</v>
      </c>
      <c r="FB330" s="404">
        <f>$C330+SUM($D330:FA330)-SUM(FB$176:FB329)-FB$331</f>
        <v>0</v>
      </c>
    </row>
    <row r="331" spans="2:158" ht="12.75" customHeight="1" x14ac:dyDescent="0.3">
      <c r="B331" s="186" t="s">
        <v>4117</v>
      </c>
      <c r="C331" s="203"/>
      <c r="D331" s="684">
        <f t="shared" ref="D331:J331" si="858">D338</f>
        <v>0</v>
      </c>
      <c r="E331" s="684">
        <f>E338</f>
        <v>5.4990938370595648E-8</v>
      </c>
      <c r="F331" s="684">
        <f t="shared" si="858"/>
        <v>2.1928790928701694E-6</v>
      </c>
      <c r="G331" s="684">
        <f t="shared" si="858"/>
        <v>9.1166656672476513E-13</v>
      </c>
      <c r="H331" s="684">
        <f t="shared" si="858"/>
        <v>0</v>
      </c>
      <c r="I331" s="684">
        <f t="shared" si="858"/>
        <v>0</v>
      </c>
      <c r="J331" s="684">
        <f t="shared" si="858"/>
        <v>0</v>
      </c>
      <c r="K331" s="684">
        <f>K338</f>
        <v>0</v>
      </c>
      <c r="L331" s="204">
        <f t="shared" ref="L331:BN331" si="859">L338</f>
        <v>1.1693633166741115E-11</v>
      </c>
      <c r="M331" s="204">
        <f t="shared" si="859"/>
        <v>1.6906204497316552E-3</v>
      </c>
      <c r="N331" s="204">
        <f t="shared" si="859"/>
        <v>3.4475826514254243E-10</v>
      </c>
      <c r="O331" s="204">
        <f t="shared" si="859"/>
        <v>0</v>
      </c>
      <c r="P331" s="204">
        <f t="shared" si="859"/>
        <v>5.6187586726121655E-8</v>
      </c>
      <c r="Q331" s="204">
        <f t="shared" si="859"/>
        <v>1.8610973461337292E-3</v>
      </c>
      <c r="R331" s="204">
        <f t="shared" si="859"/>
        <v>1.5734541762680237E-6</v>
      </c>
      <c r="S331" s="204">
        <f t="shared" si="859"/>
        <v>0</v>
      </c>
      <c r="T331" s="204">
        <f t="shared" si="859"/>
        <v>1.6399870479046167E-11</v>
      </c>
      <c r="U331" s="204">
        <f t="shared" si="859"/>
        <v>1.1644883434056099E-5</v>
      </c>
      <c r="V331" s="204">
        <f t="shared" si="859"/>
        <v>3.5942687503680568E-9</v>
      </c>
      <c r="W331" s="204">
        <f t="shared" si="859"/>
        <v>0</v>
      </c>
      <c r="X331" s="204">
        <f t="shared" si="859"/>
        <v>9.1372241288870218E-17</v>
      </c>
      <c r="Y331" s="204">
        <f t="shared" si="859"/>
        <v>0.25618449551049988</v>
      </c>
      <c r="Z331" s="204">
        <f t="shared" si="859"/>
        <v>5.2669612412042727E-8</v>
      </c>
      <c r="AA331" s="204">
        <f t="shared" si="859"/>
        <v>0</v>
      </c>
      <c r="AB331" s="204">
        <f t="shared" si="859"/>
        <v>1.4634703130058942E-11</v>
      </c>
      <c r="AC331" s="204">
        <f t="shared" si="859"/>
        <v>4.9844457779148792</v>
      </c>
      <c r="AD331" s="204">
        <f t="shared" si="859"/>
        <v>4.2484584956457103E-3</v>
      </c>
      <c r="AE331" s="204">
        <f t="shared" si="859"/>
        <v>0</v>
      </c>
      <c r="AF331" s="204">
        <f t="shared" si="859"/>
        <v>1.1966271486920246E-15</v>
      </c>
      <c r="AG331" s="204">
        <f t="shared" si="859"/>
        <v>1.3387298127437712E-2</v>
      </c>
      <c r="AH331" s="204">
        <f t="shared" si="859"/>
        <v>4.1652755289244728E-6</v>
      </c>
      <c r="AI331" s="204">
        <f t="shared" si="859"/>
        <v>0</v>
      </c>
      <c r="AJ331" s="204">
        <f t="shared" si="859"/>
        <v>1.3372391077985908E-11</v>
      </c>
      <c r="AK331" s="204">
        <f t="shared" si="859"/>
        <v>9.3425449508636765E-2</v>
      </c>
      <c r="AL331" s="204">
        <f t="shared" si="859"/>
        <v>8.2946081919541224E-6</v>
      </c>
      <c r="AM331" s="204">
        <f t="shared" si="859"/>
        <v>0</v>
      </c>
      <c r="AN331" s="204">
        <f t="shared" si="859"/>
        <v>2.079681738722534E-9</v>
      </c>
      <c r="AO331" s="204">
        <f t="shared" si="859"/>
        <v>1.0218606509918347</v>
      </c>
      <c r="AP331" s="204">
        <f t="shared" si="859"/>
        <v>1.3071123178469224E-3</v>
      </c>
      <c r="AQ331" s="204">
        <f t="shared" si="859"/>
        <v>0</v>
      </c>
      <c r="AR331" s="204">
        <f t="shared" si="859"/>
        <v>4.9527374362910774E-12</v>
      </c>
      <c r="AS331" s="204">
        <f t="shared" si="859"/>
        <v>3.4602018336532134E-2</v>
      </c>
      <c r="AT331" s="204">
        <f t="shared" si="859"/>
        <v>3.0720771081311552E-6</v>
      </c>
      <c r="AU331" s="204">
        <f t="shared" si="859"/>
        <v>0</v>
      </c>
      <c r="AV331" s="204">
        <f t="shared" si="859"/>
        <v>3.6075727516407792E-11</v>
      </c>
      <c r="AW331" s="204">
        <f t="shared" si="859"/>
        <v>6.2062531825663124E-8</v>
      </c>
      <c r="AX331" s="204">
        <f t="shared" si="859"/>
        <v>1.1267146792538725E-13</v>
      </c>
      <c r="AY331" s="204">
        <f t="shared" si="859"/>
        <v>0</v>
      </c>
      <c r="AZ331" s="204">
        <f t="shared" si="859"/>
        <v>0</v>
      </c>
      <c r="BA331" s="204">
        <f t="shared" si="859"/>
        <v>0</v>
      </c>
      <c r="BB331" s="204">
        <f t="shared" si="859"/>
        <v>0</v>
      </c>
      <c r="BC331" s="204">
        <f t="shared" si="859"/>
        <v>3.7306815005334512E-15</v>
      </c>
      <c r="BD331" s="204">
        <f t="shared" si="859"/>
        <v>1.1637792825325665E-5</v>
      </c>
      <c r="BE331" s="204">
        <f t="shared" si="859"/>
        <v>2.0332525777796838E-13</v>
      </c>
      <c r="BF331" s="204">
        <f t="shared" si="859"/>
        <v>0</v>
      </c>
      <c r="BG331" s="204">
        <f t="shared" si="859"/>
        <v>1.1677664023224082E-14</v>
      </c>
      <c r="BH331" s="204">
        <f t="shared" si="859"/>
        <v>7.2908233195815552E-6</v>
      </c>
      <c r="BI331" s="204">
        <f t="shared" si="859"/>
        <v>4.4498301664666536E-13</v>
      </c>
      <c r="BJ331" s="204">
        <f t="shared" si="859"/>
        <v>0</v>
      </c>
      <c r="BK331" s="204">
        <f t="shared" si="859"/>
        <v>1.2733192841241488E-12</v>
      </c>
      <c r="BL331" s="204">
        <f t="shared" si="859"/>
        <v>5.0369541222867E-4</v>
      </c>
      <c r="BM331" s="204">
        <f t="shared" si="859"/>
        <v>3.3908168097784795E-9</v>
      </c>
      <c r="BN331" s="204">
        <f t="shared" si="859"/>
        <v>0</v>
      </c>
      <c r="BO331" s="204">
        <f t="shared" ref="BO331:DX331" si="860">BO338</f>
        <v>2.9130375532286741E-20</v>
      </c>
      <c r="BP331" s="204">
        <f t="shared" si="860"/>
        <v>1.7635076310099393E-3</v>
      </c>
      <c r="BQ331" s="204">
        <f t="shared" si="860"/>
        <v>3.1060147153633071E-11</v>
      </c>
      <c r="BR331" s="204">
        <f t="shared" si="860"/>
        <v>0</v>
      </c>
      <c r="BS331" s="204">
        <f t="shared" si="860"/>
        <v>3.0394332575529631E-18</v>
      </c>
      <c r="BT331" s="204">
        <f t="shared" si="860"/>
        <v>1.9512117922596318E-2</v>
      </c>
      <c r="BU331" s="204">
        <f t="shared" si="860"/>
        <v>1.200586879069877E-9</v>
      </c>
      <c r="BV331" s="204">
        <f t="shared" si="860"/>
        <v>0</v>
      </c>
      <c r="BW331" s="204">
        <f t="shared" si="860"/>
        <v>4.645268651352479E-18</v>
      </c>
      <c r="BX331" s="204">
        <f t="shared" si="860"/>
        <v>2.8952112846380482E-2</v>
      </c>
      <c r="BY331" s="204">
        <f t="shared" si="860"/>
        <v>1.9646430478271546E-7</v>
      </c>
      <c r="BZ331" s="204">
        <f t="shared" si="860"/>
        <v>0</v>
      </c>
      <c r="CA331" s="204">
        <f t="shared" si="860"/>
        <v>4.2662778243359716E-15</v>
      </c>
      <c r="CB331" s="204">
        <f t="shared" si="860"/>
        <v>1.2551573019965753E-3</v>
      </c>
      <c r="CC331" s="204">
        <f t="shared" si="860"/>
        <v>5.642897023966932E-9</v>
      </c>
      <c r="CD331" s="204">
        <f t="shared" si="860"/>
        <v>0</v>
      </c>
      <c r="CE331" s="204">
        <f t="shared" si="860"/>
        <v>9.3051541907816399E-15</v>
      </c>
      <c r="CF331" s="204">
        <f t="shared" si="860"/>
        <v>5.0493354218132704E-3</v>
      </c>
      <c r="CG331" s="204">
        <f t="shared" si="860"/>
        <v>1.254588093603084E-8</v>
      </c>
      <c r="CH331" s="204">
        <f t="shared" si="860"/>
        <v>0</v>
      </c>
      <c r="CI331" s="204">
        <f t="shared" si="860"/>
        <v>1.5801028979022112E-15</v>
      </c>
      <c r="CJ331" s="204">
        <f t="shared" si="860"/>
        <v>4.6487307481354634E-4</v>
      </c>
      <c r="CK331" s="204">
        <f t="shared" si="860"/>
        <v>2.0899618607284931E-9</v>
      </c>
      <c r="CL331" s="204">
        <f t="shared" si="860"/>
        <v>0</v>
      </c>
      <c r="CM331" s="204">
        <f t="shared" si="860"/>
        <v>3.4716456662578469E-15</v>
      </c>
      <c r="CN331" s="204">
        <f t="shared" si="860"/>
        <v>2.519530269589792E-10</v>
      </c>
      <c r="CO331" s="204">
        <f t="shared" si="860"/>
        <v>2.0447351376767587E-15</v>
      </c>
      <c r="CP331" s="204">
        <f t="shared" si="860"/>
        <v>0</v>
      </c>
      <c r="CQ331" s="204">
        <f t="shared" si="860"/>
        <v>0</v>
      </c>
      <c r="CR331" s="204">
        <f t="shared" si="860"/>
        <v>0</v>
      </c>
      <c r="CS331" s="204">
        <f t="shared" si="860"/>
        <v>0</v>
      </c>
      <c r="CT331" s="204">
        <f t="shared" si="860"/>
        <v>1.1888398656589932E-16</v>
      </c>
      <c r="CU331" s="204">
        <f t="shared" si="860"/>
        <v>5.2263343763724061E-6</v>
      </c>
      <c r="CV331" s="204">
        <f t="shared" si="860"/>
        <v>2.696776207915739E-11</v>
      </c>
      <c r="CW331" s="204">
        <f t="shared" si="860"/>
        <v>0</v>
      </c>
      <c r="CX331" s="204">
        <f t="shared" si="860"/>
        <v>1.4227092672687139E-21</v>
      </c>
      <c r="CY331" s="204">
        <f t="shared" si="860"/>
        <v>1.6599526215005955E-4</v>
      </c>
      <c r="CZ331" s="204">
        <f t="shared" si="860"/>
        <v>8.5796553205967117E-10</v>
      </c>
      <c r="DA331" s="204">
        <f t="shared" si="860"/>
        <v>0</v>
      </c>
      <c r="DB331" s="204">
        <f t="shared" si="860"/>
        <v>3.3474507460882108E-28</v>
      </c>
      <c r="DC331" s="204">
        <f t="shared" si="860"/>
        <v>6.153645516383218E-4</v>
      </c>
      <c r="DD331" s="204">
        <f t="shared" si="860"/>
        <v>3.2060691316040165E-9</v>
      </c>
      <c r="DE331" s="204">
        <f t="shared" si="860"/>
        <v>0</v>
      </c>
      <c r="DF331" s="204">
        <f t="shared" si="860"/>
        <v>1.5702018124776853E-18</v>
      </c>
      <c r="DG331" s="204">
        <f t="shared" si="860"/>
        <v>1.9477268567535449E-5</v>
      </c>
      <c r="DH331" s="204">
        <f t="shared" si="860"/>
        <v>2.1006696465023818E-10</v>
      </c>
      <c r="DI331" s="204">
        <f t="shared" si="860"/>
        <v>0</v>
      </c>
      <c r="DJ331" s="204">
        <f t="shared" si="860"/>
        <v>1.0003214843060627E-19</v>
      </c>
      <c r="DK331" s="204">
        <f t="shared" si="860"/>
        <v>4.2006656941092053E-13</v>
      </c>
      <c r="DL331" s="204">
        <f t="shared" si="860"/>
        <v>2.7584746918444482E-17</v>
      </c>
      <c r="DM331" s="204">
        <f t="shared" si="860"/>
        <v>0</v>
      </c>
      <c r="DN331" s="204">
        <f t="shared" si="860"/>
        <v>0</v>
      </c>
      <c r="DO331" s="204">
        <f t="shared" si="860"/>
        <v>0</v>
      </c>
      <c r="DP331" s="204">
        <f t="shared" si="860"/>
        <v>0</v>
      </c>
      <c r="DQ331" s="204">
        <f t="shared" si="860"/>
        <v>2.752934166868362E-21</v>
      </c>
      <c r="DR331" s="204">
        <f t="shared" si="860"/>
        <v>5.0534029120708561E-8</v>
      </c>
      <c r="DS331" s="204">
        <f t="shared" si="860"/>
        <v>2.5930161582201958E-13</v>
      </c>
      <c r="DT331" s="204">
        <f t="shared" si="860"/>
        <v>0</v>
      </c>
      <c r="DU331" s="204">
        <f t="shared" si="860"/>
        <v>3.3098433406147664E-26</v>
      </c>
      <c r="DV331" s="204">
        <f t="shared" si="860"/>
        <v>1.5966308746451791E-6</v>
      </c>
      <c r="DW331" s="204">
        <f t="shared" si="860"/>
        <v>8.2065862022739069E-12</v>
      </c>
      <c r="DX331" s="204">
        <f t="shared" si="860"/>
        <v>0</v>
      </c>
      <c r="DY331" s="204">
        <f t="shared" ref="DY331:FB331" si="861">DY338</f>
        <v>7.787541244667394E-33</v>
      </c>
      <c r="DZ331" s="204">
        <f t="shared" si="861"/>
        <v>5.9187136514417186E-6</v>
      </c>
      <c r="EA331" s="204">
        <f t="shared" si="861"/>
        <v>3.0665609521103553E-11</v>
      </c>
      <c r="EB331" s="204">
        <f t="shared" si="861"/>
        <v>0</v>
      </c>
      <c r="EC331" s="204">
        <f t="shared" si="861"/>
        <v>2.3813939438456938E-23</v>
      </c>
      <c r="ED331" s="204">
        <f t="shared" si="861"/>
        <v>3.7153825902953689E-8</v>
      </c>
      <c r="EE331" s="204">
        <f t="shared" si="861"/>
        <v>8.2532487878589454E-13</v>
      </c>
      <c r="EF331" s="204">
        <f t="shared" si="861"/>
        <v>0</v>
      </c>
      <c r="EG331" s="204">
        <f t="shared" si="861"/>
        <v>1.509471098562987E-19</v>
      </c>
      <c r="EH331" s="204">
        <f t="shared" si="861"/>
        <v>3.6516114826648994E-13</v>
      </c>
      <c r="EI331" s="204">
        <f t="shared" si="861"/>
        <v>9.6780677920715661E-18</v>
      </c>
      <c r="EJ331" s="204">
        <f t="shared" si="861"/>
        <v>0</v>
      </c>
      <c r="EK331" s="204">
        <f t="shared" si="861"/>
        <v>0</v>
      </c>
      <c r="EL331" s="204">
        <f t="shared" si="861"/>
        <v>0</v>
      </c>
      <c r="EM331" s="204">
        <f t="shared" si="861"/>
        <v>0</v>
      </c>
      <c r="EN331" s="204">
        <f t="shared" si="861"/>
        <v>9.6915304294655425E-21</v>
      </c>
      <c r="EO331" s="204">
        <f t="shared" si="861"/>
        <v>5.7714844301020477E-9</v>
      </c>
      <c r="EP331" s="204">
        <f t="shared" si="861"/>
        <v>3.1441777382473813E-14</v>
      </c>
      <c r="EQ331" s="204">
        <f t="shared" si="861"/>
        <v>0</v>
      </c>
      <c r="ER331" s="204">
        <f t="shared" si="861"/>
        <v>1.1540105333170824E-25</v>
      </c>
      <c r="ES331" s="204">
        <f t="shared" si="861"/>
        <v>1.7686425383515253E-6</v>
      </c>
      <c r="ET331" s="204">
        <f t="shared" si="861"/>
        <v>9.1462744164374763E-12</v>
      </c>
      <c r="EU331" s="204">
        <f t="shared" si="861"/>
        <v>0</v>
      </c>
      <c r="EV331" s="204">
        <f t="shared" si="861"/>
        <v>2.7150302020211699E-32</v>
      </c>
      <c r="EW331" s="204">
        <f t="shared" si="861"/>
        <v>6.5563066363015524E-6</v>
      </c>
      <c r="EX331" s="204">
        <f t="shared" si="861"/>
        <v>3.4176664719264638E-11</v>
      </c>
      <c r="EY331" s="204">
        <f t="shared" si="861"/>
        <v>0</v>
      </c>
      <c r="EZ331" s="204">
        <f t="shared" si="861"/>
        <v>5.6277534093221058E-23</v>
      </c>
      <c r="FA331" s="204">
        <f t="shared" si="861"/>
        <v>1.3528947635826335E-8</v>
      </c>
      <c r="FB331" s="205">
        <f t="shared" si="861"/>
        <v>1.096054116311033E-12</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27.419262979515757</v>
      </c>
      <c r="D336" s="185">
        <f>SUM($D$176:$FB$176)</f>
        <v>0</v>
      </c>
      <c r="E336" s="185">
        <f>SUM($D$177:$FB$177)</f>
        <v>2.9582363205527429E-8</v>
      </c>
      <c r="F336" s="185">
        <f>SUM($D$178:$FB$178)</f>
        <v>2.1044070961965287</v>
      </c>
      <c r="G336" s="185">
        <f>SUM($D$179:$FB$179)</f>
        <v>2.1006923231308418E-7</v>
      </c>
      <c r="H336" s="185">
        <f>SUM($D$180:$FB$180)</f>
        <v>3.4746402838158295E-2</v>
      </c>
      <c r="I336" s="185">
        <f>SUM($D$181:$FB$181)</f>
        <v>1.3855857482956944</v>
      </c>
      <c r="J336" s="185">
        <f>SUM($D$182:$FB$182)</f>
        <v>1.8413595686613209E-7</v>
      </c>
      <c r="K336" s="185">
        <f>SUM($D$183:$FB$183)</f>
        <v>0</v>
      </c>
      <c r="L336" s="185">
        <f>SUM($D$184:$FB$184)</f>
        <v>1.2783308568730921E-4</v>
      </c>
      <c r="M336" s="185">
        <f>SUM($D$185:$FB$185)</f>
        <v>0.25802466612481756</v>
      </c>
      <c r="N336" s="185">
        <f>SUM($D$186:$FB$186)</f>
        <v>5.3036081600777112E-8</v>
      </c>
      <c r="O336" s="185">
        <f>SUM($D$187:$FB$187)</f>
        <v>0</v>
      </c>
      <c r="P336" s="185">
        <f>SUM($D$188:$FB$188)</f>
        <v>1.4061639565629274E-3</v>
      </c>
      <c r="Q336" s="185">
        <f>SUM($D$189:$FB$189)</f>
        <v>9.4074279394840428</v>
      </c>
      <c r="R336" s="185">
        <f>SUM($D$190:$FB$190)</f>
        <v>8.0171434706806967E-3</v>
      </c>
      <c r="S336" s="185">
        <f>SUM($D$191:$FB$191)</f>
        <v>0</v>
      </c>
      <c r="T336" s="185">
        <f>SUM($D$192:$FB$192)</f>
        <v>2.2028333270396428E-4</v>
      </c>
      <c r="U336" s="185">
        <f>SUM($D$193:$FB$193)</f>
        <v>1.8246092924783425E-2</v>
      </c>
      <c r="V336" s="185">
        <f>SUM($D$194:$FB$194)</f>
        <v>5.6754192251780113E-6</v>
      </c>
      <c r="W336" s="185">
        <f>SUM($D$195:$FB$195)</f>
        <v>0</v>
      </c>
      <c r="X336" s="185">
        <f>SUM($D$196:$FB$196)</f>
        <v>1.7719681328430963E-9</v>
      </c>
      <c r="Y336" s="185">
        <f>SUM($D$197:$FB$197)</f>
        <v>0.25618449551049988</v>
      </c>
      <c r="Z336" s="185">
        <f>SUM($D$198:$FB$198)</f>
        <v>5.2669612412042741E-8</v>
      </c>
      <c r="AA336" s="185">
        <f>SUM($D$199:$FB$199)</f>
        <v>0</v>
      </c>
      <c r="AB336" s="185">
        <f>SUM($D$200:$FB$200)</f>
        <v>2.8380860969488966E-4</v>
      </c>
      <c r="AC336" s="185">
        <f>SUM($D$201:$FB$201)</f>
        <v>9.4008603865433784</v>
      </c>
      <c r="AD336" s="185">
        <f>SUM($D$202:$FB$202)</f>
        <v>8.012759483221223E-3</v>
      </c>
      <c r="AE336" s="185">
        <f>SUM($D$203:$FB$203)</f>
        <v>0</v>
      </c>
      <c r="AF336" s="185">
        <f>SUM($D$204:$FB$204)</f>
        <v>2.4851171109314664E-8</v>
      </c>
      <c r="AG336" s="185">
        <f>SUM($D$205:$FB$205)</f>
        <v>1.7645845632179729E-2</v>
      </c>
      <c r="AH336" s="185">
        <f>SUM($D$206:$FB$206)</f>
        <v>5.4902646000134069E-6</v>
      </c>
      <c r="AI336" s="185">
        <f>SUM($D$207:$FB$207)</f>
        <v>0</v>
      </c>
      <c r="AJ336" s="185">
        <f>SUM($D$208:$FB$208)</f>
        <v>1.3807309782138347E-2</v>
      </c>
      <c r="AK336" s="185">
        <f>SUM($D$209:$FB$209)</f>
        <v>0.56439451868135826</v>
      </c>
      <c r="AL336" s="185">
        <f>SUM($D$210:$FB$210)</f>
        <v>8.3020273322086817E-6</v>
      </c>
      <c r="AM336" s="185">
        <f>SUM($D$211:$FB$211)</f>
        <v>0</v>
      </c>
      <c r="AN336" s="185">
        <f>SUM($D$212:$FB$212)</f>
        <v>3.0682910626973682E-2</v>
      </c>
      <c r="AO336" s="185">
        <f>SUM($D$213:$FB$213)</f>
        <v>3.4100495457367499</v>
      </c>
      <c r="AP336" s="185">
        <f>SUM($D$214:$FB$214)</f>
        <v>1.3076443449679264E-3</v>
      </c>
      <c r="AQ336" s="185">
        <f>SUM($D$215:$FB$215)</f>
        <v>0</v>
      </c>
      <c r="AR336" s="185">
        <f>SUM($D$216:$FB$216)</f>
        <v>5.1138184378290187E-3</v>
      </c>
      <c r="AS336" s="185">
        <f>SUM($D$217:$FB$217)</f>
        <v>0.20903500691902158</v>
      </c>
      <c r="AT336" s="185">
        <f>SUM($D$218:$FB$218)</f>
        <v>3.0748249378550674E-6</v>
      </c>
      <c r="AU336" s="185">
        <f>SUM($D$219:$FB$219)</f>
        <v>0</v>
      </c>
      <c r="AV336" s="185">
        <f>SUM($D$220:$FB$220)</f>
        <v>1.4141028930259602E-3</v>
      </c>
      <c r="AW336" s="185">
        <f>SUM($D$221:$FB$221)</f>
        <v>5.7770930849787128E-2</v>
      </c>
      <c r="AX336" s="185">
        <f>SUM($D$222:$FB$222)</f>
        <v>2.3582153662014473E-8</v>
      </c>
      <c r="AY336" s="185">
        <f>SUM($D$223:$FB$223)</f>
        <v>2.2794696475454768E-5</v>
      </c>
      <c r="AZ336" s="185">
        <f>SUM($D$224:$FB$224)</f>
        <v>3.921463753453798E-2</v>
      </c>
      <c r="BA336" s="185">
        <f>SUM($D$225:$FB$225)</f>
        <v>2.2757079523589054E-8</v>
      </c>
      <c r="BB336" s="185">
        <f>SUM($D$226:$FB$226)</f>
        <v>0</v>
      </c>
      <c r="BC336" s="185">
        <f>SUM($D$227:$FB$227)</f>
        <v>4.0783263946243636E-8</v>
      </c>
      <c r="BD336" s="185">
        <f>SUM($D$228:$FB$228)</f>
        <v>1.776174899967098E-3</v>
      </c>
      <c r="BE336" s="185">
        <f>SUM($D$229:$FB$229)</f>
        <v>3.1278655374811226E-11</v>
      </c>
      <c r="BF336" s="185">
        <f>SUM($D$230:$FB$230)</f>
        <v>0</v>
      </c>
      <c r="BG336" s="185">
        <f>SUM($D$231:$FB$231)</f>
        <v>4.4861590374139218E-7</v>
      </c>
      <c r="BH336" s="185">
        <f>SUM($D$232:$FB$232)</f>
        <v>3.6853469884828335E-2</v>
      </c>
      <c r="BI336" s="185">
        <f>SUM($D$233:$FB$233)</f>
        <v>2.2673000207315394E-9</v>
      </c>
      <c r="BJ336" s="185">
        <f>SUM($D$234:$FB$234)</f>
        <v>0</v>
      </c>
      <c r="BK336" s="185">
        <f>SUM($D$235:$FB$235)</f>
        <v>1.710134988156876E-5</v>
      </c>
      <c r="BL336" s="185">
        <f>SUM($D$236:$FB$236)</f>
        <v>3.9256231181302829E-2</v>
      </c>
      <c r="BM336" s="185">
        <f>SUM($D$237:$FB$237)</f>
        <v>2.6632691257551759E-7</v>
      </c>
      <c r="BN336" s="185">
        <f>SUM($D$238:$FB$238)</f>
        <v>0</v>
      </c>
      <c r="BO336" s="185">
        <f>SUM($D$239:$FB$239)</f>
        <v>5.6532034470984299E-13</v>
      </c>
      <c r="BP336" s="185">
        <f>SUM($D$240:$FB$240)</f>
        <v>1.7635076310099395E-3</v>
      </c>
      <c r="BQ336" s="185">
        <f>SUM($D$241:$FB$241)</f>
        <v>3.1060147153633064E-11</v>
      </c>
      <c r="BR336" s="185">
        <f>SUM($D$242:$FB$242)</f>
        <v>0</v>
      </c>
      <c r="BS336" s="185">
        <f>SUM($D$243:$FB$243)</f>
        <v>5.8984942832123336E-11</v>
      </c>
      <c r="BT336" s="185">
        <f>SUM($D$244:$FB$244)</f>
        <v>3.6826635341705653E-2</v>
      </c>
      <c r="BU336" s="185">
        <f>SUM($D$245:$FB$245)</f>
        <v>2.2659546937413996E-9</v>
      </c>
      <c r="BV336" s="185">
        <f>SUM($D$246:$FB$246)</f>
        <v>0</v>
      </c>
      <c r="BW336" s="185">
        <f>SUM($D$247:$FB$247)</f>
        <v>9.647477230685934E-11</v>
      </c>
      <c r="BX336" s="185">
        <f>SUM($D$248:$FB$248)</f>
        <v>3.8163194621748858E-2</v>
      </c>
      <c r="BY336" s="185">
        <f>SUM($D$249:$FB$249)</f>
        <v>2.5896919991408159E-7</v>
      </c>
      <c r="BZ336" s="185">
        <f>SUM($D$250:$FB$250)</f>
        <v>0</v>
      </c>
      <c r="CA336" s="185">
        <f>SUM($D$251:$FB$251)</f>
        <v>4.4050326672128782E-6</v>
      </c>
      <c r="CB336" s="185">
        <f>SUM($D$252:$FB$252)</f>
        <v>7.5825581258162477E-3</v>
      </c>
      <c r="CC336" s="185">
        <f>SUM($D$253:$FB$253)</f>
        <v>5.6479443322296028E-9</v>
      </c>
      <c r="CD336" s="185">
        <f>SUM($D$254:$FB$254)</f>
        <v>0</v>
      </c>
      <c r="CE336" s="185">
        <f>SUM($D$255:$FB$255)</f>
        <v>9.7889614826952798E-6</v>
      </c>
      <c r="CF336" s="185">
        <f>SUM($D$256:$FB$256)</f>
        <v>1.6850129168506756E-2</v>
      </c>
      <c r="CG336" s="185">
        <f>SUM($D$257:$FB$257)</f>
        <v>1.2550987420625709E-8</v>
      </c>
      <c r="CH336" s="185">
        <f>SUM($D$258:$FB$258)</f>
        <v>0</v>
      </c>
      <c r="CI336" s="185">
        <f>SUM($D$259:$FB$259)</f>
        <v>1.6314935804492142E-6</v>
      </c>
      <c r="CJ336" s="185">
        <f>SUM($D$260:$FB$260)</f>
        <v>2.8083548614134244E-3</v>
      </c>
      <c r="CK336" s="185">
        <f>SUM($D$261:$FB$261)</f>
        <v>2.0918312341591114E-9</v>
      </c>
      <c r="CL336" s="185">
        <f>SUM($D$262:$FB$262)</f>
        <v>0</v>
      </c>
      <c r="CM336" s="185">
        <f>SUM($D$263:$FB$263)</f>
        <v>1.3607811845112981E-7</v>
      </c>
      <c r="CN336" s="185">
        <f>SUM($D$264:$FB$264)</f>
        <v>2.3423472828657503E-4</v>
      </c>
      <c r="CO336" s="185">
        <f>SUM($D$265:$FB$265)</f>
        <v>4.2507420773781855E-10</v>
      </c>
      <c r="CP336" s="185">
        <f>SUM($D$266:$FB$266)</f>
        <v>2.1935831840586927E-9</v>
      </c>
      <c r="CQ336" s="185">
        <f>SUM($D$267:$FB$267)</f>
        <v>1.5919825275063177E-4</v>
      </c>
      <c r="CR336" s="185">
        <f>SUM($D$268:$FB$268)</f>
        <v>4.12990094028074E-10</v>
      </c>
      <c r="CS336" s="185">
        <f>SUM($D$269:$FB$269)</f>
        <v>0</v>
      </c>
      <c r="CT336" s="185">
        <f>SUM($D$270:$FB$270)</f>
        <v>1.5966848288181813E-9</v>
      </c>
      <c r="CU336" s="185">
        <f>SUM($D$271:$FB$271)</f>
        <v>8.5385845056055629E-4</v>
      </c>
      <c r="CV336" s="185">
        <f>SUM($D$272:$FB$272)</f>
        <v>4.4386357932133493E-9</v>
      </c>
      <c r="CW336" s="185">
        <f>SUM($D$273:$FB$273)</f>
        <v>0</v>
      </c>
      <c r="CX336" s="185">
        <f>SUM($D$274:$FB$274)</f>
        <v>1.9107634415928222E-14</v>
      </c>
      <c r="CY336" s="185">
        <f>SUM($D$275:$FB$275)</f>
        <v>1.0632120267555307E-3</v>
      </c>
      <c r="CZ336" s="185">
        <f>SUM($D$276:$FB$276)</f>
        <v>5.5300601093940791E-9</v>
      </c>
      <c r="DA336" s="185">
        <f>SUM($D$277:$FB$277)</f>
        <v>0</v>
      </c>
      <c r="DB336" s="185">
        <f>SUM($D$278:$FB$278)</f>
        <v>7.1862338760289298E-21</v>
      </c>
      <c r="DC336" s="185">
        <f>SUM($D$279:$FB$279)</f>
        <v>8.384577036025686E-4</v>
      </c>
      <c r="DD336" s="185">
        <f>SUM($D$280:$FB$280)</f>
        <v>4.3683916379631438E-9</v>
      </c>
      <c r="DE336" s="185">
        <f>SUM($D$281:$FB$281)</f>
        <v>0</v>
      </c>
      <c r="DF336" s="185">
        <f>SUM($D$282:$FB$282)</f>
        <v>1.6212704757823969E-9</v>
      </c>
      <c r="DG336" s="185">
        <f>SUM($D$283:$FB$283)</f>
        <v>1.1766455153513038E-4</v>
      </c>
      <c r="DH336" s="185">
        <f>SUM($D$284:$FB$284)</f>
        <v>2.1025485975480768E-10</v>
      </c>
      <c r="DI336" s="185">
        <f>SUM($D$285:$FB$285)</f>
        <v>0</v>
      </c>
      <c r="DJ336" s="185">
        <f>SUM($D$286:$FB$286)</f>
        <v>3.5948179907161544E-12</v>
      </c>
      <c r="DK336" s="185">
        <f>SUM($D$287:$FB$287)</f>
        <v>2.6089573229689091E-7</v>
      </c>
      <c r="DL336" s="185">
        <f>SUM($D$288:$FB$288)</f>
        <v>2.1172817129264995E-12</v>
      </c>
      <c r="DM336" s="185">
        <f>SUM($D$289:$FB$289)</f>
        <v>3.2616522073175342E-14</v>
      </c>
      <c r="DN336" s="185">
        <f>SUM($D$290:$FB$290)</f>
        <v>1.369670728625106E-7</v>
      </c>
      <c r="DO336" s="185">
        <f>SUM($D$291:$FB$291)</f>
        <v>1.9898188791708485E-12</v>
      </c>
      <c r="DP336" s="185">
        <f>SUM($D$292:$FB$292)</f>
        <v>0</v>
      </c>
      <c r="DQ336" s="185">
        <f>SUM($D$293:$FB$293)</f>
        <v>3.6972366493791254E-14</v>
      </c>
      <c r="DR336" s="185">
        <f>SUM($D$294:$FB$294)</f>
        <v>8.2101962330710465E-6</v>
      </c>
      <c r="DS336" s="185">
        <f>SUM($D$295:$FB$295)</f>
        <v>4.2443251263405152E-11</v>
      </c>
      <c r="DT336" s="185">
        <f>SUM($D$296:$FB$296)</f>
        <v>0</v>
      </c>
      <c r="DU336" s="185">
        <f>SUM($D$297:$FB$297)</f>
        <v>4.4451233499976477E-19</v>
      </c>
      <c r="DV336" s="185">
        <f>SUM($D$298:$FB$298)</f>
        <v>1.0305681481125832E-5</v>
      </c>
      <c r="DW336" s="185">
        <f>SUM($D$299:$FB$299)</f>
        <v>5.3302748943466512E-11</v>
      </c>
      <c r="DX336" s="185">
        <f>SUM($D$300:$FB$300)</f>
        <v>0</v>
      </c>
      <c r="DY336" s="185">
        <f>SUM($D$301:$FB$301)</f>
        <v>1.6718319677735065E-25</v>
      </c>
      <c r="DZ336" s="185">
        <f>SUM($D$302:$FB$302)</f>
        <v>8.0647329286167654E-6</v>
      </c>
      <c r="EA336" s="185">
        <f>SUM($D$303:$FB$303)</f>
        <v>4.1784408816720896E-11</v>
      </c>
      <c r="EB336" s="185">
        <f>SUM($D$304:$FB$304)</f>
        <v>0</v>
      </c>
      <c r="EC336" s="185">
        <f>SUM($D$305:$FB$305)</f>
        <v>2.5136288809971053E-14</v>
      </c>
      <c r="ED336" s="185">
        <f>SUM($D$306:$FB$306)</f>
        <v>1.0555523729831062E-7</v>
      </c>
      <c r="EE336" s="185">
        <f>SUM($D$307:$FB$307)</f>
        <v>8.2606309340551107E-13</v>
      </c>
      <c r="EF336" s="185">
        <f>SUM($D$308:$FB$308)</f>
        <v>0</v>
      </c>
      <c r="EG336" s="185">
        <f>SUM($D$309:$FB$309)</f>
        <v>6.2264074038830455E-12</v>
      </c>
      <c r="EH336" s="185">
        <f>SUM($D$310:$FB$310)</f>
        <v>4.5188458462914881E-7</v>
      </c>
      <c r="EI336" s="185">
        <f>SUM($D$311:$FB$311)</f>
        <v>3.6672394928178288E-12</v>
      </c>
      <c r="EJ336" s="185">
        <f>SUM($D$312:$FB$312)</f>
        <v>1.4260928646094733E-13</v>
      </c>
      <c r="EK336" s="185">
        <f>SUM($D$313:$FB$313)</f>
        <v>3.4499084447590055E-7</v>
      </c>
      <c r="EL336" s="185">
        <f>SUM($D$314:$FB$314)</f>
        <v>3.6302501063423002E-12</v>
      </c>
      <c r="EM336" s="185">
        <f>SUM($D$315:$FB$315)</f>
        <v>0</v>
      </c>
      <c r="EN336" s="185">
        <f>SUM($D$316:$FB$316)</f>
        <v>1.3016572560173476E-13</v>
      </c>
      <c r="EO336" s="185">
        <f>SUM($D$317:$FB$317)</f>
        <v>9.3231637948026362E-7</v>
      </c>
      <c r="EP336" s="185">
        <f>SUM($D$318:$FB$318)</f>
        <v>5.1172335420537767E-12</v>
      </c>
      <c r="EQ336" s="185">
        <f>SUM($D$319:$FB$319)</f>
        <v>0</v>
      </c>
      <c r="ER336" s="185">
        <f>SUM($D$320:$FB$320)</f>
        <v>1.549919113928E-18</v>
      </c>
      <c r="ES336" s="185">
        <f>SUM($D$321:$FB$321)</f>
        <v>1.1196581955457003E-5</v>
      </c>
      <c r="ET336" s="185">
        <f>SUM($D$322:$FB$322)</f>
        <v>5.8271678332078735E-11</v>
      </c>
      <c r="EU336" s="185">
        <f>SUM($D$323:$FB$323)</f>
        <v>0</v>
      </c>
      <c r="EV336" s="185">
        <f>SUM($D$324:$FB$324)</f>
        <v>5.8290121380442859E-25</v>
      </c>
      <c r="EW336" s="185">
        <f>SUM($D$325:$FB$325)</f>
        <v>8.9335800431428513E-6</v>
      </c>
      <c r="EX336" s="190">
        <f>SUM($D$326:$FB$326)</f>
        <v>4.6568897218242296E-11</v>
      </c>
      <c r="EY336" s="185">
        <f>SUM($D$327:$FB$327)</f>
        <v>0</v>
      </c>
      <c r="EZ336" s="185">
        <f>SUM($D$328:$FB$328)</f>
        <v>5.6465497124206731E-14</v>
      </c>
      <c r="FA336" s="185">
        <f>SUM($D$329:$FB$329)</f>
        <v>1.3659760937334047E-7</v>
      </c>
      <c r="FB336" s="192">
        <f>SUM($D$330:$FB$330)</f>
        <v>1.0970344856096562E-12</v>
      </c>
    </row>
    <row r="337" spans="2:158" ht="12.75" customHeight="1" x14ac:dyDescent="0.3">
      <c r="B337" s="188" t="s">
        <v>4120</v>
      </c>
      <c r="C337" s="176">
        <f>SUM(D337:EY337)</f>
        <v>27.419262993045805</v>
      </c>
      <c r="D337" s="176">
        <f t="shared" ref="D337:AI337" si="867">SUM(D176:D330)</f>
        <v>0</v>
      </c>
      <c r="E337" s="176">
        <f t="shared" si="867"/>
        <v>2.1571286809699677</v>
      </c>
      <c r="F337" s="176">
        <f t="shared" si="867"/>
        <v>2.1044049033174352</v>
      </c>
      <c r="G337" s="176">
        <f t="shared" si="867"/>
        <v>2.1006832064651745E-7</v>
      </c>
      <c r="H337" s="176">
        <f t="shared" si="867"/>
        <v>3.4746402838158288E-2</v>
      </c>
      <c r="I337" s="176">
        <f t="shared" si="867"/>
        <v>1.3855857482956941</v>
      </c>
      <c r="J337" s="176">
        <f t="shared" si="867"/>
        <v>1.8413595686613203E-7</v>
      </c>
      <c r="K337" s="176">
        <f t="shared" si="867"/>
        <v>0</v>
      </c>
      <c r="L337" s="176">
        <f t="shared" si="867"/>
        <v>1.2783307399367595E-4</v>
      </c>
      <c r="M337" s="176">
        <f t="shared" si="867"/>
        <v>0.25633404567508594</v>
      </c>
      <c r="N337" s="176">
        <f>SUM(N176:N330)</f>
        <v>5.2691323335634568E-8</v>
      </c>
      <c r="O337" s="176">
        <f t="shared" si="867"/>
        <v>0</v>
      </c>
      <c r="P337" s="176">
        <f t="shared" si="867"/>
        <v>2.1585348141475187</v>
      </c>
      <c r="Q337" s="176">
        <f t="shared" si="867"/>
        <v>9.4055668421379117</v>
      </c>
      <c r="R337" s="176">
        <f t="shared" si="867"/>
        <v>8.0155700165044311E-3</v>
      </c>
      <c r="S337" s="176">
        <f t="shared" si="867"/>
        <v>0</v>
      </c>
      <c r="T337" s="176">
        <f t="shared" si="867"/>
        <v>2.202833163040938E-4</v>
      </c>
      <c r="U337" s="176">
        <f t="shared" si="867"/>
        <v>1.8234448041349369E-2</v>
      </c>
      <c r="V337" s="176">
        <f t="shared" si="867"/>
        <v>5.6718249564276432E-6</v>
      </c>
      <c r="W337" s="176">
        <f t="shared" si="867"/>
        <v>0</v>
      </c>
      <c r="X337" s="176">
        <f t="shared" si="867"/>
        <v>1.7719680414708551E-9</v>
      </c>
      <c r="Y337" s="176">
        <f t="shared" si="867"/>
        <v>0</v>
      </c>
      <c r="Z337" s="176">
        <f t="shared" si="867"/>
        <v>0</v>
      </c>
      <c r="AA337" s="176">
        <f t="shared" si="867"/>
        <v>0</v>
      </c>
      <c r="AB337" s="176">
        <f t="shared" si="867"/>
        <v>2.8380859506018649E-4</v>
      </c>
      <c r="AC337" s="176">
        <f t="shared" si="867"/>
        <v>4.4164146086284983</v>
      </c>
      <c r="AD337" s="176">
        <f t="shared" si="867"/>
        <v>3.7643009875755113E-3</v>
      </c>
      <c r="AE337" s="176">
        <f t="shared" si="867"/>
        <v>0</v>
      </c>
      <c r="AF337" s="176">
        <f t="shared" si="867"/>
        <v>2.4851169912687513E-8</v>
      </c>
      <c r="AG337" s="176">
        <f t="shared" si="867"/>
        <v>4.258547504742017E-3</v>
      </c>
      <c r="AH337" s="176">
        <f t="shared" si="867"/>
        <v>1.3249890710889328E-6</v>
      </c>
      <c r="AI337" s="176">
        <f t="shared" si="867"/>
        <v>0</v>
      </c>
      <c r="AJ337" s="176">
        <f t="shared" ref="AJ337:BO337" si="868">SUM(AJ176:AJ330)</f>
        <v>1.3807309768765956E-2</v>
      </c>
      <c r="AK337" s="176">
        <f t="shared" si="868"/>
        <v>0.47096906917272152</v>
      </c>
      <c r="AL337" s="176">
        <f t="shared" si="868"/>
        <v>7.4191402545612296E-9</v>
      </c>
      <c r="AM337" s="176">
        <f t="shared" si="868"/>
        <v>0</v>
      </c>
      <c r="AN337" s="176">
        <f t="shared" si="868"/>
        <v>2.1878116149258355</v>
      </c>
      <c r="AO337" s="176">
        <f t="shared" si="868"/>
        <v>2.3881888947449146</v>
      </c>
      <c r="AP337" s="176">
        <f t="shared" si="868"/>
        <v>5.3202712100336057E-7</v>
      </c>
      <c r="AQ337" s="176">
        <f t="shared" si="868"/>
        <v>0</v>
      </c>
      <c r="AR337" s="176">
        <f t="shared" si="868"/>
        <v>5.11381843287628E-3</v>
      </c>
      <c r="AS337" s="176">
        <f t="shared" si="868"/>
        <v>0.17443298858248946</v>
      </c>
      <c r="AT337" s="176">
        <f t="shared" si="868"/>
        <v>2.7478297239115655E-9</v>
      </c>
      <c r="AU337" s="176">
        <f t="shared" si="868"/>
        <v>0</v>
      </c>
      <c r="AV337" s="176">
        <f t="shared" si="868"/>
        <v>1.414102856950233E-3</v>
      </c>
      <c r="AW337" s="176">
        <f t="shared" si="868"/>
        <v>5.7770868787255326E-2</v>
      </c>
      <c r="AX337" s="176">
        <f t="shared" si="868"/>
        <v>2.3582040990546552E-8</v>
      </c>
      <c r="AY337" s="176">
        <f t="shared" si="868"/>
        <v>2.2794696475454768E-5</v>
      </c>
      <c r="AZ337" s="176">
        <f t="shared" si="868"/>
        <v>3.921463753453798E-2</v>
      </c>
      <c r="BA337" s="176">
        <f t="shared" si="868"/>
        <v>2.2757079523589054E-8</v>
      </c>
      <c r="BB337" s="176">
        <f t="shared" si="868"/>
        <v>0</v>
      </c>
      <c r="BC337" s="176">
        <f t="shared" si="868"/>
        <v>4.0783260215562122E-8</v>
      </c>
      <c r="BD337" s="176">
        <f t="shared" si="868"/>
        <v>1.7645371071417721E-3</v>
      </c>
      <c r="BE337" s="176">
        <f t="shared" si="868"/>
        <v>3.1075330117033251E-11</v>
      </c>
      <c r="BF337" s="176">
        <f t="shared" si="868"/>
        <v>0</v>
      </c>
      <c r="BG337" s="176">
        <f t="shared" si="868"/>
        <v>4.4861589206372809E-7</v>
      </c>
      <c r="BH337" s="176">
        <f t="shared" si="868"/>
        <v>3.6846179061508756E-2</v>
      </c>
      <c r="BI337" s="176">
        <f t="shared" si="868"/>
        <v>2.266855037714892E-9</v>
      </c>
      <c r="BJ337" s="176">
        <f t="shared" si="868"/>
        <v>0</v>
      </c>
      <c r="BK337" s="176">
        <f t="shared" si="868"/>
        <v>1.710134860824947E-5</v>
      </c>
      <c r="BL337" s="176">
        <f t="shared" si="868"/>
        <v>3.8752535769074149E-2</v>
      </c>
      <c r="BM337" s="176">
        <f t="shared" si="868"/>
        <v>2.6293609576573898E-7</v>
      </c>
      <c r="BN337" s="176">
        <f t="shared" si="868"/>
        <v>0</v>
      </c>
      <c r="BO337" s="176">
        <f t="shared" si="868"/>
        <v>5.6532031557946754E-13</v>
      </c>
      <c r="BP337" s="176">
        <f t="shared" ref="BP337:CU337" si="869">SUM(BP176:BP330)</f>
        <v>0</v>
      </c>
      <c r="BQ337" s="176">
        <f t="shared" si="869"/>
        <v>0</v>
      </c>
      <c r="BR337" s="176">
        <f t="shared" si="869"/>
        <v>0</v>
      </c>
      <c r="BS337" s="176">
        <f t="shared" si="869"/>
        <v>5.8984939792690077E-11</v>
      </c>
      <c r="BT337" s="176">
        <f t="shared" si="869"/>
        <v>1.7314517419109332E-2</v>
      </c>
      <c r="BU337" s="176">
        <f t="shared" si="869"/>
        <v>1.065367814671523E-9</v>
      </c>
      <c r="BV337" s="176">
        <f t="shared" si="869"/>
        <v>0</v>
      </c>
      <c r="BW337" s="176">
        <f t="shared" si="869"/>
        <v>9.6474767661590734E-11</v>
      </c>
      <c r="BX337" s="176">
        <f t="shared" si="869"/>
        <v>9.2110817753683783E-3</v>
      </c>
      <c r="BY337" s="176">
        <f t="shared" si="869"/>
        <v>6.2504895131366081E-8</v>
      </c>
      <c r="BZ337" s="176">
        <f t="shared" si="869"/>
        <v>0</v>
      </c>
      <c r="CA337" s="176">
        <f t="shared" si="869"/>
        <v>4.4050326629466003E-6</v>
      </c>
      <c r="CB337" s="176">
        <f t="shared" si="869"/>
        <v>6.3274008238196726E-3</v>
      </c>
      <c r="CC337" s="176">
        <f t="shared" si="869"/>
        <v>5.0473082626695805E-12</v>
      </c>
      <c r="CD337" s="176">
        <f t="shared" si="869"/>
        <v>0</v>
      </c>
      <c r="CE337" s="176">
        <f t="shared" si="869"/>
        <v>9.7889614733901282E-6</v>
      </c>
      <c r="CF337" s="176">
        <f t="shared" si="869"/>
        <v>1.180079374669349E-2</v>
      </c>
      <c r="CG337" s="176">
        <f t="shared" si="869"/>
        <v>5.1064845948679377E-12</v>
      </c>
      <c r="CH337" s="176">
        <f t="shared" si="869"/>
        <v>0</v>
      </c>
      <c r="CI337" s="176">
        <f t="shared" si="869"/>
        <v>1.6314935788691108E-6</v>
      </c>
      <c r="CJ337" s="176">
        <f t="shared" si="869"/>
        <v>2.3434817865998782E-3</v>
      </c>
      <c r="CK337" s="176">
        <f t="shared" si="869"/>
        <v>1.8693734306183627E-12</v>
      </c>
      <c r="CL337" s="176">
        <f t="shared" si="869"/>
        <v>0</v>
      </c>
      <c r="CM337" s="176">
        <f t="shared" si="869"/>
        <v>1.3607811497948412E-7</v>
      </c>
      <c r="CN337" s="176">
        <f t="shared" si="869"/>
        <v>2.3423447633354796E-4</v>
      </c>
      <c r="CO337" s="176">
        <f t="shared" si="869"/>
        <v>4.2507216300268069E-10</v>
      </c>
      <c r="CP337" s="176">
        <f t="shared" si="869"/>
        <v>2.1935831840586923E-9</v>
      </c>
      <c r="CQ337" s="176">
        <f t="shared" si="869"/>
        <v>1.5919825275063175E-4</v>
      </c>
      <c r="CR337" s="176">
        <f t="shared" si="869"/>
        <v>4.1299009402807405E-10</v>
      </c>
      <c r="CS337" s="176">
        <f t="shared" si="869"/>
        <v>0</v>
      </c>
      <c r="CT337" s="176">
        <f t="shared" si="869"/>
        <v>1.5966847099341947E-9</v>
      </c>
      <c r="CU337" s="176">
        <f t="shared" si="869"/>
        <v>8.4863211618418368E-4</v>
      </c>
      <c r="CV337" s="176">
        <f t="shared" ref="CV337:EA337" si="870">SUM(CV176:CV330)</f>
        <v>4.41166803113419E-9</v>
      </c>
      <c r="CW337" s="176">
        <f t="shared" si="870"/>
        <v>0</v>
      </c>
      <c r="CX337" s="176">
        <f t="shared" si="870"/>
        <v>1.9107632993218961E-14</v>
      </c>
      <c r="CY337" s="176">
        <f t="shared" si="870"/>
        <v>8.9721676460547154E-4</v>
      </c>
      <c r="CZ337" s="176">
        <f t="shared" si="870"/>
        <v>4.6720945773344083E-9</v>
      </c>
      <c r="DA337" s="176">
        <f t="shared" si="870"/>
        <v>0</v>
      </c>
      <c r="DB337" s="176">
        <f t="shared" si="870"/>
        <v>7.1862335412838542E-21</v>
      </c>
      <c r="DC337" s="176">
        <f t="shared" si="870"/>
        <v>2.2309315196424666E-4</v>
      </c>
      <c r="DD337" s="176">
        <f t="shared" si="870"/>
        <v>1.1623225063591277E-9</v>
      </c>
      <c r="DE337" s="176">
        <f t="shared" si="870"/>
        <v>0</v>
      </c>
      <c r="DF337" s="176">
        <f t="shared" si="870"/>
        <v>1.6212704742121955E-9</v>
      </c>
      <c r="DG337" s="176">
        <f t="shared" si="870"/>
        <v>9.818728296759498E-5</v>
      </c>
      <c r="DH337" s="176">
        <f t="shared" si="870"/>
        <v>1.8789510456947855E-13</v>
      </c>
      <c r="DI337" s="176">
        <f t="shared" si="870"/>
        <v>0</v>
      </c>
      <c r="DJ337" s="176">
        <f t="shared" si="870"/>
        <v>3.594817890684007E-12</v>
      </c>
      <c r="DK337" s="176">
        <f t="shared" si="870"/>
        <v>2.608953122303216E-7</v>
      </c>
      <c r="DL337" s="176">
        <f t="shared" si="870"/>
        <v>2.1172541281795809E-12</v>
      </c>
      <c r="DM337" s="176">
        <f t="shared" si="870"/>
        <v>3.2616522073175336E-14</v>
      </c>
      <c r="DN337" s="176">
        <f t="shared" si="870"/>
        <v>1.3696707286251058E-7</v>
      </c>
      <c r="DO337" s="176">
        <f t="shared" si="870"/>
        <v>1.9898188791708485E-12</v>
      </c>
      <c r="DP337" s="176">
        <f t="shared" si="870"/>
        <v>0</v>
      </c>
      <c r="DQ337" s="176">
        <f t="shared" si="870"/>
        <v>3.6972363740857088E-14</v>
      </c>
      <c r="DR337" s="176">
        <f t="shared" si="870"/>
        <v>8.1596622039503381E-6</v>
      </c>
      <c r="DS337" s="176">
        <f t="shared" si="870"/>
        <v>4.218394964758314E-11</v>
      </c>
      <c r="DT337" s="176">
        <f t="shared" si="870"/>
        <v>0</v>
      </c>
      <c r="DU337" s="176">
        <f t="shared" si="870"/>
        <v>4.4451230190133142E-19</v>
      </c>
      <c r="DV337" s="176">
        <f t="shared" si="870"/>
        <v>8.7090506064806496E-6</v>
      </c>
      <c r="DW337" s="176">
        <f t="shared" si="870"/>
        <v>4.5096162741192615E-11</v>
      </c>
      <c r="DX337" s="176">
        <f t="shared" si="870"/>
        <v>0</v>
      </c>
      <c r="DY337" s="176">
        <f t="shared" si="870"/>
        <v>1.6718318898980945E-25</v>
      </c>
      <c r="DZ337" s="176">
        <f t="shared" si="870"/>
        <v>2.1460192771750468E-6</v>
      </c>
      <c r="EA337" s="176">
        <f t="shared" si="870"/>
        <v>1.1118799295617335E-11</v>
      </c>
      <c r="EB337" s="176">
        <f t="shared" ref="EB337:FB337" si="871">SUM(EB176:EB330)</f>
        <v>0</v>
      </c>
      <c r="EC337" s="176">
        <f t="shared" si="871"/>
        <v>2.5136288786157119E-14</v>
      </c>
      <c r="ED337" s="176">
        <f t="shared" si="871"/>
        <v>6.840141139535693E-8</v>
      </c>
      <c r="EE337" s="176">
        <f t="shared" si="871"/>
        <v>7.3821461961649771E-16</v>
      </c>
      <c r="EF337" s="176">
        <f t="shared" si="871"/>
        <v>0</v>
      </c>
      <c r="EG337" s="176">
        <f t="shared" si="871"/>
        <v>6.2264072529359358E-12</v>
      </c>
      <c r="EH337" s="176">
        <f t="shared" si="871"/>
        <v>4.5188421946800053E-7</v>
      </c>
      <c r="EI337" s="176">
        <f t="shared" si="871"/>
        <v>3.6672298147500373E-12</v>
      </c>
      <c r="EJ337" s="176">
        <f t="shared" si="871"/>
        <v>1.4260928646094733E-13</v>
      </c>
      <c r="EK337" s="176">
        <f t="shared" si="871"/>
        <v>3.4499084447590055E-7</v>
      </c>
      <c r="EL337" s="176">
        <f t="shared" si="871"/>
        <v>3.6302501063423002E-12</v>
      </c>
      <c r="EM337" s="176">
        <f t="shared" si="871"/>
        <v>0</v>
      </c>
      <c r="EN337" s="176">
        <f t="shared" si="871"/>
        <v>1.3016571591020431E-13</v>
      </c>
      <c r="EO337" s="176">
        <f t="shared" si="871"/>
        <v>9.2654489505016135E-7</v>
      </c>
      <c r="EP337" s="176">
        <f t="shared" si="871"/>
        <v>5.0857917646713027E-12</v>
      </c>
      <c r="EQ337" s="176">
        <f t="shared" si="871"/>
        <v>0</v>
      </c>
      <c r="ER337" s="176">
        <f t="shared" si="871"/>
        <v>1.5499189985269464E-18</v>
      </c>
      <c r="ES337" s="176">
        <f t="shared" si="871"/>
        <v>9.4279394171054761E-6</v>
      </c>
      <c r="ET337" s="176">
        <f t="shared" si="871"/>
        <v>4.9125403915641264E-11</v>
      </c>
      <c r="EU337" s="176">
        <f t="shared" si="871"/>
        <v>0</v>
      </c>
      <c r="EV337" s="176">
        <f t="shared" si="871"/>
        <v>5.8290118665412667E-25</v>
      </c>
      <c r="EW337" s="176">
        <f t="shared" si="871"/>
        <v>2.3772734068412985E-6</v>
      </c>
      <c r="EX337" s="176">
        <f t="shared" si="871"/>
        <v>1.2392232498977668E-11</v>
      </c>
      <c r="EY337" s="176">
        <f t="shared" si="871"/>
        <v>0</v>
      </c>
      <c r="EZ337" s="176">
        <f t="shared" si="871"/>
        <v>5.6465497067929199E-14</v>
      </c>
      <c r="FA337" s="176">
        <f t="shared" si="871"/>
        <v>1.2306866173751414E-7</v>
      </c>
      <c r="FB337" s="206">
        <f t="shared" si="871"/>
        <v>9.803692986232493E-16</v>
      </c>
    </row>
    <row r="338" spans="2:158" ht="12.75" customHeight="1" x14ac:dyDescent="0.3">
      <c r="B338" s="207" t="s">
        <v>4121</v>
      </c>
      <c r="C338" s="176">
        <f>SUM(D338:EY338)</f>
        <v>6.4713861056055828</v>
      </c>
      <c r="D338" s="176">
        <f>k.aRG*D168</f>
        <v>0</v>
      </c>
      <c r="E338" s="176">
        <f>k.aRS*E168</f>
        <v>5.4990938370595648E-8</v>
      </c>
      <c r="F338" s="176">
        <f>k.aRA*F168</f>
        <v>2.1928790928701694E-6</v>
      </c>
      <c r="G338" s="176">
        <f>k.aRP*G168</f>
        <v>9.1166656672476513E-13</v>
      </c>
      <c r="H338" s="176">
        <v>0</v>
      </c>
      <c r="I338" s="176">
        <v>0</v>
      </c>
      <c r="J338" s="176">
        <v>0</v>
      </c>
      <c r="K338" s="176">
        <f>k.w0RD*K168</f>
        <v>0</v>
      </c>
      <c r="L338" s="176">
        <f>k.w0RS*L168</f>
        <v>1.1693633166741115E-11</v>
      </c>
      <c r="M338" s="176">
        <f>k.w0RA*M168</f>
        <v>1.6906204497316552E-3</v>
      </c>
      <c r="N338" s="176">
        <f>k.w0RP*N168</f>
        <v>3.4475826514254243E-10</v>
      </c>
      <c r="O338" s="176">
        <f>k.w1RD*O168</f>
        <v>0</v>
      </c>
      <c r="P338" s="176">
        <f>k.w1RS*P168</f>
        <v>5.6187586726121655E-8</v>
      </c>
      <c r="Q338" s="176">
        <f>k.w1RA*Q168</f>
        <v>1.8610973461337292E-3</v>
      </c>
      <c r="R338" s="176">
        <f>k.w1RP*R168</f>
        <v>1.5734541762680237E-6</v>
      </c>
      <c r="S338" s="176">
        <f>k.w2RD*S168</f>
        <v>0</v>
      </c>
      <c r="T338" s="176">
        <f>k.w2RS*T168</f>
        <v>1.6399870479046167E-11</v>
      </c>
      <c r="U338" s="176">
        <f>k.w2RA*U168</f>
        <v>1.1644883434056099E-5</v>
      </c>
      <c r="V338" s="176">
        <f>k.w2RP*V168</f>
        <v>3.5942687503680568E-9</v>
      </c>
      <c r="W338" s="176">
        <f>k.sd0RD*W168</f>
        <v>0</v>
      </c>
      <c r="X338" s="176">
        <f>k.sd0RS*X168</f>
        <v>9.1372241288870218E-17</v>
      </c>
      <c r="Y338" s="176">
        <f>k.sd0RA*Y168</f>
        <v>0.25618449551049988</v>
      </c>
      <c r="Z338" s="176">
        <f>k.sd0RP*Z168</f>
        <v>5.2669612412042727E-8</v>
      </c>
      <c r="AA338" s="176">
        <f>k.sd1RD*AA168</f>
        <v>0</v>
      </c>
      <c r="AB338" s="176">
        <f>k.sd1RS*AB168</f>
        <v>1.4634703130058942E-11</v>
      </c>
      <c r="AC338" s="176">
        <f>k.sd1RA*AC168</f>
        <v>4.9844457779148792</v>
      </c>
      <c r="AD338" s="176">
        <f>k.sd1RP*AD168</f>
        <v>4.2484584956457103E-3</v>
      </c>
      <c r="AE338" s="176">
        <f>k.sd2RD*AE168</f>
        <v>0</v>
      </c>
      <c r="AF338" s="176">
        <f>k.sd2RS*AF168</f>
        <v>1.1966271486920246E-15</v>
      </c>
      <c r="AG338" s="176">
        <f>k.sd2RA*AG168</f>
        <v>1.3387298127437712E-2</v>
      </c>
      <c r="AH338" s="176">
        <f>k.sd2RP*AH168</f>
        <v>4.1652755289244728E-6</v>
      </c>
      <c r="AI338" s="176">
        <f>k.s1RD*AI168</f>
        <v>0</v>
      </c>
      <c r="AJ338" s="176">
        <f>k.s1RS*AJ168</f>
        <v>1.3372391077985908E-11</v>
      </c>
      <c r="AK338" s="176">
        <f>k.s1RA*AK168</f>
        <v>9.3425449508636765E-2</v>
      </c>
      <c r="AL338" s="176">
        <f>k.s1RP*AL168</f>
        <v>8.2946081919541224E-6</v>
      </c>
      <c r="AM338" s="176">
        <f>k.s2RD*AM168</f>
        <v>0</v>
      </c>
      <c r="AN338" s="176">
        <f>k.s2RS*AN168</f>
        <v>2.079681738722534E-9</v>
      </c>
      <c r="AO338" s="176">
        <f>k.s2RA*AO168</f>
        <v>1.0218606509918347</v>
      </c>
      <c r="AP338" s="176">
        <f>k.s2RP*AP168</f>
        <v>1.3071123178469224E-3</v>
      </c>
      <c r="AQ338" s="176">
        <f>k.s3RD*AQ168</f>
        <v>0</v>
      </c>
      <c r="AR338" s="176">
        <f>k.s3RS*AR168</f>
        <v>4.9527374362910774E-12</v>
      </c>
      <c r="AS338" s="176">
        <f>k.s3RA*AS168</f>
        <v>3.4602018336532134E-2</v>
      </c>
      <c r="AT338" s="176">
        <f>k.s3RP*AT168</f>
        <v>3.0720771081311552E-6</v>
      </c>
      <c r="AU338" s="176">
        <f>k.aC*AU168</f>
        <v>0</v>
      </c>
      <c r="AV338" s="176">
        <f>k.aCS*AV168</f>
        <v>3.6075727516407792E-11</v>
      </c>
      <c r="AW338" s="176">
        <f>k.aCA*AW168</f>
        <v>6.2062531825663124E-8</v>
      </c>
      <c r="AX338" s="176">
        <f>k.aCP*AX168</f>
        <v>1.1267146792538725E-13</v>
      </c>
      <c r="AY338" s="176">
        <v>0</v>
      </c>
      <c r="AZ338" s="176">
        <v>0</v>
      </c>
      <c r="BA338" s="176">
        <v>0</v>
      </c>
      <c r="BB338" s="176">
        <f>k.w0C*BB168</f>
        <v>0</v>
      </c>
      <c r="BC338" s="176">
        <f>k.w0CS*BC168</f>
        <v>3.7306815005334512E-15</v>
      </c>
      <c r="BD338" s="176">
        <f>k.w0CA*BD168</f>
        <v>1.1637792825325665E-5</v>
      </c>
      <c r="BE338" s="176">
        <f>k.w0CP*BE168</f>
        <v>2.0332525777796838E-13</v>
      </c>
      <c r="BF338" s="176">
        <f>k.w1C*BF168</f>
        <v>0</v>
      </c>
      <c r="BG338" s="176">
        <f>k.w1CS*BG168</f>
        <v>1.1677664023224082E-14</v>
      </c>
      <c r="BH338" s="176">
        <f>k.w1CA*BH168</f>
        <v>7.2908233195815552E-6</v>
      </c>
      <c r="BI338" s="176">
        <f>k.w1CP*BI168</f>
        <v>4.4498301664666536E-13</v>
      </c>
      <c r="BJ338" s="176">
        <f>k.w2C*BJ168</f>
        <v>0</v>
      </c>
      <c r="BK338" s="176">
        <f>k.w2CS*BK168</f>
        <v>1.2733192841241488E-12</v>
      </c>
      <c r="BL338" s="176">
        <f>k.w2CA*BL168</f>
        <v>5.0369541222867E-4</v>
      </c>
      <c r="BM338" s="176">
        <f>k.w2CP*BM168</f>
        <v>3.3908168097784795E-9</v>
      </c>
      <c r="BN338" s="176">
        <f>k.sd0CD*BN168</f>
        <v>0</v>
      </c>
      <c r="BO338" s="176">
        <f>k.sd0CS*BO168</f>
        <v>2.9130375532286741E-20</v>
      </c>
      <c r="BP338" s="176">
        <f>k.sd0CA*BP168</f>
        <v>1.7635076310099393E-3</v>
      </c>
      <c r="BQ338" s="176">
        <f>k.sd0CP*BQ168</f>
        <v>3.1060147153633071E-11</v>
      </c>
      <c r="BR338" s="176">
        <f>k.sd1C*BR168</f>
        <v>0</v>
      </c>
      <c r="BS338" s="176">
        <f>k.sd1CS*BS168</f>
        <v>3.0394332575529631E-18</v>
      </c>
      <c r="BT338" s="176">
        <f>k.sd1CA*BT168</f>
        <v>1.9512117922596318E-2</v>
      </c>
      <c r="BU338" s="176">
        <f>k.sd1CP*BU168</f>
        <v>1.200586879069877E-9</v>
      </c>
      <c r="BV338" s="176">
        <f>k.sd2C*BV168</f>
        <v>0</v>
      </c>
      <c r="BW338" s="176">
        <f>k.sd2CS*BW168</f>
        <v>4.645268651352479E-18</v>
      </c>
      <c r="BX338" s="176">
        <f>k.sd2CA*BX168</f>
        <v>2.8952112846380482E-2</v>
      </c>
      <c r="BY338" s="176">
        <f>k.sd2CP*BY168</f>
        <v>1.9646430478271546E-7</v>
      </c>
      <c r="BZ338" s="176">
        <f>k.s1C*BZ168</f>
        <v>0</v>
      </c>
      <c r="CA338" s="176">
        <f>k.s1CS*CA168</f>
        <v>4.2662778243359716E-15</v>
      </c>
      <c r="CB338" s="176">
        <f>k.s1CA*CB168</f>
        <v>1.2551573019965753E-3</v>
      </c>
      <c r="CC338" s="176">
        <f>k.s1CP*CC168</f>
        <v>5.642897023966932E-9</v>
      </c>
      <c r="CD338" s="176">
        <f>k.s2C*CD168</f>
        <v>0</v>
      </c>
      <c r="CE338" s="176">
        <f>k.s2CS*CE168</f>
        <v>9.3051541907816399E-15</v>
      </c>
      <c r="CF338" s="176">
        <f>k.s2CA*CF168</f>
        <v>5.0493354218132704E-3</v>
      </c>
      <c r="CG338" s="176">
        <f>k.s2CP*CG168</f>
        <v>1.254588093603084E-8</v>
      </c>
      <c r="CH338" s="176">
        <f>k.s3C*CH168</f>
        <v>0</v>
      </c>
      <c r="CI338" s="176">
        <f>k.s3CS*CI168</f>
        <v>1.5801028979022112E-15</v>
      </c>
      <c r="CJ338" s="176">
        <f>k.s3CA*CJ168</f>
        <v>4.6487307481354634E-4</v>
      </c>
      <c r="CK338" s="176">
        <f>k.s3CP*CK168</f>
        <v>2.0899618607284931E-9</v>
      </c>
      <c r="CL338" s="176">
        <f>k.aM*CL168</f>
        <v>0</v>
      </c>
      <c r="CM338" s="176">
        <f>k.aMS*CM168</f>
        <v>3.4716456662578469E-15</v>
      </c>
      <c r="CN338" s="176">
        <f>k.aMA*CN168</f>
        <v>2.519530269589792E-10</v>
      </c>
      <c r="CO338" s="176">
        <f>k.aMP*CO168</f>
        <v>2.0447351376767587E-15</v>
      </c>
      <c r="CP338" s="176">
        <v>0</v>
      </c>
      <c r="CQ338" s="176">
        <v>0</v>
      </c>
      <c r="CR338" s="176">
        <v>0</v>
      </c>
      <c r="CS338" s="176">
        <f>k.w2M*CS168</f>
        <v>0</v>
      </c>
      <c r="CT338" s="176">
        <f>k.w2MS*CT168</f>
        <v>1.1888398656589932E-16</v>
      </c>
      <c r="CU338" s="176">
        <f>k.w2MA*CU168</f>
        <v>5.2263343763724061E-6</v>
      </c>
      <c r="CV338" s="176">
        <f>k.w2MP*CV168</f>
        <v>2.696776207915739E-11</v>
      </c>
      <c r="CW338" s="176">
        <f>k.w3M*CW168</f>
        <v>0</v>
      </c>
      <c r="CX338" s="176">
        <f>k.w3MS*CX168</f>
        <v>1.4227092672687139E-21</v>
      </c>
      <c r="CY338" s="176">
        <f>k.w3MA*CY168</f>
        <v>1.6599526215005955E-4</v>
      </c>
      <c r="CZ338" s="176">
        <f>k.w3MP*CZ168</f>
        <v>8.5796553205967117E-10</v>
      </c>
      <c r="DA338" s="176">
        <f>k.sdM*DA168</f>
        <v>0</v>
      </c>
      <c r="DB338" s="176">
        <f>k.sdMS*DB168</f>
        <v>3.3474507460882108E-28</v>
      </c>
      <c r="DC338" s="176">
        <f>k.sdMA*DC168</f>
        <v>6.153645516383218E-4</v>
      </c>
      <c r="DD338" s="176">
        <f>k.sdMP*DD168</f>
        <v>3.2060691316040165E-9</v>
      </c>
      <c r="DE338" s="176">
        <f>k.sM*DE168</f>
        <v>0</v>
      </c>
      <c r="DF338" s="176">
        <f>k.sMS*DF168</f>
        <v>1.5702018124776853E-18</v>
      </c>
      <c r="DG338" s="176">
        <f>k.sMA*DG168</f>
        <v>1.9477268567535449E-5</v>
      </c>
      <c r="DH338" s="176">
        <f>k.sMP*DH168</f>
        <v>2.1006696465023818E-10</v>
      </c>
      <c r="DI338" s="176">
        <f>k.aA*DI168</f>
        <v>0</v>
      </c>
      <c r="DJ338" s="176">
        <f>k.aAS*DJ168</f>
        <v>1.0003214843060627E-19</v>
      </c>
      <c r="DK338" s="176">
        <f>k.aAA*DK168</f>
        <v>4.2006656941092053E-13</v>
      </c>
      <c r="DL338" s="176">
        <f>k.aAP*DL168</f>
        <v>2.7584746918444482E-17</v>
      </c>
      <c r="DM338" s="176">
        <v>0</v>
      </c>
      <c r="DN338" s="176">
        <v>0</v>
      </c>
      <c r="DO338" s="176">
        <v>0</v>
      </c>
      <c r="DP338" s="176">
        <f>k.w2A*DP168</f>
        <v>0</v>
      </c>
      <c r="DQ338" s="176">
        <f>k.w2AS*DQ168</f>
        <v>2.752934166868362E-21</v>
      </c>
      <c r="DR338" s="176">
        <f>k.w2AA*DR168</f>
        <v>5.0534029120708561E-8</v>
      </c>
      <c r="DS338" s="176">
        <f>k.w2AP*DS168</f>
        <v>2.5930161582201958E-13</v>
      </c>
      <c r="DT338" s="176">
        <f>k.w3A*DT168</f>
        <v>0</v>
      </c>
      <c r="DU338" s="176">
        <f>k.w3AS*DU168</f>
        <v>3.3098433406147664E-26</v>
      </c>
      <c r="DV338" s="176">
        <f>k.w3AA*DV168</f>
        <v>1.5966308746451791E-6</v>
      </c>
      <c r="DW338" s="176">
        <f>k.w3AP*DW168</f>
        <v>8.2065862022739069E-12</v>
      </c>
      <c r="DX338" s="176">
        <f>k.sdA*DX168</f>
        <v>0</v>
      </c>
      <c r="DY338" s="176">
        <f>k.sdAS*DY168</f>
        <v>7.787541244667394E-33</v>
      </c>
      <c r="DZ338" s="176">
        <f>k.sdAA*DZ168</f>
        <v>5.9187136514417186E-6</v>
      </c>
      <c r="EA338" s="176">
        <f>k.sdAP*EA168</f>
        <v>3.0665609521103553E-11</v>
      </c>
      <c r="EB338" s="176">
        <f>k.sA*EB168</f>
        <v>0</v>
      </c>
      <c r="EC338" s="176">
        <f>k.sAS*EC168</f>
        <v>2.3813939438456938E-23</v>
      </c>
      <c r="ED338" s="176">
        <f>k.sAA*ED168</f>
        <v>3.7153825902953689E-8</v>
      </c>
      <c r="EE338" s="176">
        <f>k.sAP*EE168</f>
        <v>8.2532487878589454E-13</v>
      </c>
      <c r="EF338" s="176">
        <f>k.aT*EF168</f>
        <v>0</v>
      </c>
      <c r="EG338" s="176">
        <f>k.aTS*EG168</f>
        <v>1.509471098562987E-19</v>
      </c>
      <c r="EH338" s="176">
        <f>k.aTA*EH168</f>
        <v>3.6516114826648994E-13</v>
      </c>
      <c r="EI338" s="176">
        <f>k.aTP*EI168</f>
        <v>9.6780677920715661E-18</v>
      </c>
      <c r="EJ338" s="176">
        <v>0</v>
      </c>
      <c r="EK338" s="176">
        <v>0</v>
      </c>
      <c r="EL338" s="176">
        <v>0</v>
      </c>
      <c r="EM338" s="176">
        <f>k.w2T*EM168</f>
        <v>0</v>
      </c>
      <c r="EN338" s="176">
        <f>k.w2TS*EN168</f>
        <v>9.6915304294655425E-21</v>
      </c>
      <c r="EO338" s="176">
        <f>k.w2TA*EO168</f>
        <v>5.7714844301020477E-9</v>
      </c>
      <c r="EP338" s="176">
        <f>k.w2TP*EP168</f>
        <v>3.1441777382473813E-14</v>
      </c>
      <c r="EQ338" s="176">
        <f>k.w3T*EQ168</f>
        <v>0</v>
      </c>
      <c r="ER338" s="176">
        <f>k.w3TS*ER168</f>
        <v>1.1540105333170824E-25</v>
      </c>
      <c r="ES338" s="176">
        <f>k.w3TA*ES168</f>
        <v>1.7686425383515253E-6</v>
      </c>
      <c r="ET338" s="176">
        <f>k.w3TP*ET168</f>
        <v>9.1462744164374763E-12</v>
      </c>
      <c r="EU338" s="176">
        <f>k.sdT*EU168</f>
        <v>0</v>
      </c>
      <c r="EV338" s="176">
        <f>k.sdTS*EV168</f>
        <v>2.7150302020211699E-32</v>
      </c>
      <c r="EW338" s="176">
        <f>k.sdTA*EW168</f>
        <v>6.5563066363015524E-6</v>
      </c>
      <c r="EX338" s="176">
        <f>k.sdTP*EX168</f>
        <v>3.4176664719264638E-11</v>
      </c>
      <c r="EY338" s="176">
        <f>k.sT*EY168</f>
        <v>0</v>
      </c>
      <c r="EZ338" s="176">
        <f>k.sTS*EZ168</f>
        <v>5.6277534093221058E-23</v>
      </c>
      <c r="FA338" s="176">
        <f>k.sTA*FA168</f>
        <v>1.3528947635826335E-8</v>
      </c>
      <c r="FB338" s="176">
        <f>k.sTP*FB168</f>
        <v>1.096054116311033E-12</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microplastic</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1.0769145909860358</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1.0769145909860358</v>
      </c>
      <c r="I10" s="335" t="s">
        <v>4127</v>
      </c>
      <c r="J10" s="493"/>
      <c r="K10" s="897" t="s">
        <v>4132</v>
      </c>
      <c r="AP10" s="494"/>
    </row>
    <row r="11" spans="1:164" ht="12.75" customHeight="1" x14ac:dyDescent="0.3">
      <c r="A11" s="489"/>
      <c r="B11" s="489"/>
      <c r="C11" s="489"/>
      <c r="D11" s="489"/>
      <c r="F11" s="657" t="s">
        <v>4133</v>
      </c>
      <c r="G11" s="689">
        <f>Scale*(M.tot/Emis.tot)/(3600*24*365)</f>
        <v>1.0769145909860358</v>
      </c>
      <c r="H11" s="689">
        <f>2*Scale*(M.tot/Emis.tot)/(3600*24*365)</f>
        <v>2.1538291819720716</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49" t="str">
        <f t="shared" si="0"/>
        <v/>
      </c>
      <c r="AE6" s="849" t="str">
        <f t="shared" si="0"/>
        <v/>
      </c>
      <c r="AF6" s="849" t="str">
        <f t="shared" si="0"/>
        <v/>
      </c>
      <c r="AG6" s="849" t="str">
        <f t="shared" si="0"/>
        <v/>
      </c>
      <c r="AH6" s="849" t="str">
        <f t="shared" ref="AH6:BM6" si="1">IF(ISBLANK(VLOOKUP($A6,$A$8:$CD$57,COLUMN(),0)),"",VLOOKUP($A6,$A$8:$CD$57,COLUMN(),0))</f>
        <v/>
      </c>
      <c r="AI6" s="849" t="str">
        <f t="shared" si="1"/>
        <v/>
      </c>
      <c r="AJ6" s="849" t="str">
        <f t="shared" si="1"/>
        <v/>
      </c>
      <c r="AK6" s="849" t="str">
        <f t="shared" si="1"/>
        <v/>
      </c>
      <c r="AL6" s="849" t="str">
        <f t="shared" si="1"/>
        <v/>
      </c>
      <c r="AM6" s="849" t="str">
        <f t="shared" si="1"/>
        <v/>
      </c>
      <c r="AN6" s="849" t="str">
        <f t="shared" si="1"/>
        <v/>
      </c>
      <c r="AO6" s="849" t="str">
        <f t="shared" si="1"/>
        <v/>
      </c>
      <c r="AP6" s="849" t="str">
        <f t="shared" si="1"/>
        <v/>
      </c>
      <c r="AQ6" s="849" t="str">
        <f t="shared" si="1"/>
        <v/>
      </c>
      <c r="AR6" s="849" t="str">
        <f t="shared" si="1"/>
        <v/>
      </c>
      <c r="AS6" s="849" t="str">
        <f t="shared" si="1"/>
        <v/>
      </c>
      <c r="AT6" s="849" t="str">
        <f t="shared" si="1"/>
        <v/>
      </c>
      <c r="AU6" s="849" t="str">
        <f t="shared" si="1"/>
        <v/>
      </c>
      <c r="AV6" s="849" t="str">
        <f t="shared" si="1"/>
        <v/>
      </c>
      <c r="AW6" s="849" t="str">
        <f t="shared" si="1"/>
        <v/>
      </c>
      <c r="AX6" s="849" t="str">
        <f t="shared" si="1"/>
        <v/>
      </c>
      <c r="AY6" s="849" t="str">
        <f t="shared" si="1"/>
        <v/>
      </c>
      <c r="AZ6" s="849" t="str">
        <f t="shared" si="1"/>
        <v/>
      </c>
      <c r="BA6" s="849" t="str">
        <f t="shared" si="1"/>
        <v/>
      </c>
      <c r="BB6" s="849" t="str">
        <f t="shared" si="1"/>
        <v/>
      </c>
      <c r="BC6" s="849" t="str">
        <f t="shared" si="1"/>
        <v/>
      </c>
      <c r="BD6" s="849" t="str">
        <f t="shared" si="1"/>
        <v/>
      </c>
      <c r="BE6" s="849" t="str">
        <f t="shared" si="1"/>
        <v/>
      </c>
      <c r="BF6" s="849" t="str">
        <f t="shared" si="1"/>
        <v/>
      </c>
      <c r="BG6" s="849" t="str">
        <f t="shared" si="1"/>
        <v/>
      </c>
      <c r="BH6" s="849" t="str">
        <f t="shared" si="1"/>
        <v/>
      </c>
      <c r="BI6" s="849" t="str">
        <f t="shared" si="1"/>
        <v/>
      </c>
      <c r="BJ6" s="849" t="str">
        <f t="shared" si="1"/>
        <v/>
      </c>
      <c r="BK6" s="849" t="str">
        <f t="shared" si="1"/>
        <v/>
      </c>
      <c r="BL6" s="849" t="str">
        <f t="shared" si="1"/>
        <v/>
      </c>
      <c r="BM6" s="849" t="str">
        <f t="shared" si="1"/>
        <v/>
      </c>
      <c r="BN6" s="849" t="str">
        <f t="shared" ref="BN6:CC6" si="2">IF(ISBLANK(VLOOKUP($A6,$A$8:$CD$57,COLUMN(),0)),"",VLOOKUP($A6,$A$8:$CD$57,COLUMN(),0))</f>
        <v/>
      </c>
      <c r="BO6" s="849" t="str">
        <f t="shared" si="2"/>
        <v/>
      </c>
      <c r="BP6" s="849" t="str">
        <f t="shared" si="2"/>
        <v/>
      </c>
      <c r="BQ6" s="849" t="str">
        <f t="shared" si="2"/>
        <v/>
      </c>
      <c r="BR6" s="849" t="str">
        <f t="shared" si="2"/>
        <v/>
      </c>
      <c r="BS6" s="849" t="str">
        <f t="shared" si="2"/>
        <v/>
      </c>
      <c r="BT6" s="849" t="str">
        <f t="shared" si="2"/>
        <v/>
      </c>
      <c r="BU6" s="849" t="str">
        <f t="shared" si="2"/>
        <v/>
      </c>
      <c r="BV6" s="849" t="str">
        <f t="shared" si="2"/>
        <v/>
      </c>
      <c r="BW6" s="849" t="str">
        <f t="shared" si="2"/>
        <v/>
      </c>
      <c r="BX6" s="849" t="str">
        <f t="shared" si="2"/>
        <v/>
      </c>
      <c r="BY6" s="849" t="str">
        <f t="shared" si="2"/>
        <v/>
      </c>
      <c r="BZ6" s="849" t="str">
        <f t="shared" si="2"/>
        <v/>
      </c>
      <c r="CA6" s="849" t="str">
        <f t="shared" si="2"/>
        <v/>
      </c>
      <c r="CB6" s="849" t="str">
        <f t="shared" si="2"/>
        <v/>
      </c>
      <c r="CC6" s="849" t="str">
        <f t="shared" si="2"/>
        <v/>
      </c>
      <c r="CD6" s="849" t="str">
        <f>IF(ISBLANK(VLOOKUP($A6,$A$8:$CY$57,COLUMN(),0)),"",VLOOKUP($A6,$A$8:$CY$57,COLUMN(),0))</f>
        <v/>
      </c>
      <c r="CE6" s="849" t="str">
        <f>IF(ISBLANK(VLOOKUP($A6,$A$8:$CY$57,COLUMN(),0)),"",VLOOKUP($A6,$A$8:$CY$57,COLUMN(),0))</f>
        <v/>
      </c>
      <c r="CF6" s="849"/>
      <c r="CG6" s="849"/>
      <c r="CH6" s="849" t="str">
        <f>IF(ISBLANK(VLOOKUP($A6,$A$8:$CY$57,COLUMN(),0)),"",VLOOKUP($A6,$A$8:$CY$57,COLUMN(),0))</f>
        <v/>
      </c>
      <c r="CI6" s="849" t="str">
        <f>IF(ISBLANK(VLOOKUP($A6,$A$8:$CY$57,COLUMN(),0)),"",VLOOKUP($A6,$A$8:$CY$57,COLUMN(),0))</f>
        <v/>
      </c>
      <c r="CJ6" s="849"/>
      <c r="CK6" s="849"/>
      <c r="CL6" s="849" t="str">
        <f>IF(ISBLANK(VLOOKUP($A6,$A$8:$CY$57,COLUMN(),0)),"",VLOOKUP($A6,$A$8:$CY$57,COLUMN(),0))</f>
        <v/>
      </c>
      <c r="CM6" s="849"/>
      <c r="CN6" s="849"/>
      <c r="CO6" s="849" t="str">
        <f>IF(ISBLANK(VLOOKUP($A6,$A$8:$CY$57,COLUMN(),0)),"",VLOOKUP($A6,$A$8:$CY$57,COLUMN(),0))</f>
        <v/>
      </c>
      <c r="CP6" s="849" t="str">
        <f>IF(ISBLANK(VLOOKUP($A6,$A$8:$CY$57,COLUMN(),0)),"",VLOOKUP($A6,$A$8:$CY$57,COLUMN(),0))</f>
        <v/>
      </c>
      <c r="CQ6" s="849" t="str">
        <f>IF(ISBLANK(VLOOKUP($A6,$A$8:$CY$57,COLUMN(),0)),"",VLOOKUP($A6,$A$8:$CY$57,COLUMN(),0))</f>
        <v/>
      </c>
      <c r="CR6" s="849"/>
      <c r="CS6" s="849"/>
      <c r="CT6" s="849" t="str">
        <f>IF(ISBLANK(VLOOKUP($A6,$A$8:$CY$57,COLUMN(),0)),"",VLOOKUP($A6,$A$8:$CY$57,COLUMN(),0))</f>
        <v/>
      </c>
      <c r="CU6" s="849" t="str">
        <f>IF(ISBLANK(VLOOKUP($A6,$A$8:$CY$57,COLUMN(),0)),"",VLOOKUP($A6,$A$8:$CY$57,COLUMN(),0))</f>
        <v/>
      </c>
      <c r="CV6" s="849" t="str">
        <f>IF(ISBLANK(VLOOKUP($A6,$A$8:$CY$57,COLUMN(),0)),"",VLOOKUP($A6,$A$8:$CY$57,COLUMN(),0))</f>
        <v/>
      </c>
      <c r="CW6" s="849"/>
      <c r="CX6" s="849"/>
      <c r="CY6" s="849" t="str">
        <f>IF(ISBLANK(VLOOKUP($A6,$A$8:$CY$57,COLUMN(),0)),"",VLOOKUP($A6,$A$8:$CY$57,COLUMN(),0))</f>
        <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microplastic</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2.6424826653093609E-2</v>
      </c>
      <c r="C14" s="319" t="s">
        <v>1226</v>
      </c>
    </row>
    <row r="15" spans="1:3" ht="14.5" x14ac:dyDescent="0.3">
      <c r="A15" s="317" t="s">
        <v>2147</v>
      </c>
      <c r="B15" s="318">
        <f>(FRaerw.aC+FRaers.aC)*(tdry.C+twet.C)/twet.C*RAINrate.C*COLLECTeff.C</f>
        <v>7.3989514628660255E-2</v>
      </c>
      <c r="C15" s="319" t="s">
        <v>1226</v>
      </c>
    </row>
    <row r="16" spans="1:3" ht="14.5" x14ac:dyDescent="0.3">
      <c r="A16" s="317" t="s">
        <v>2717</v>
      </c>
      <c r="B16" s="318">
        <f>(FRaerw.aM+FRaers.aM)*(tdry.M+twet.M)/twet.M*RAINrate.M*COLLECTeff.M</f>
        <v>7.3989514628660255E-2</v>
      </c>
      <c r="C16" s="319" t="s">
        <v>1226</v>
      </c>
    </row>
    <row r="17" spans="1:3" ht="14.5" x14ac:dyDescent="0.3">
      <c r="A17" s="317" t="s">
        <v>1228</v>
      </c>
      <c r="B17" s="318">
        <f>(FRaerw.aR+FRaers.aR)*(tdry.R+twet.R)/twet.R*COLLECTeff.R*RAINrate.R</f>
        <v>7.3989514628660255E-2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136272651451.41959</v>
      </c>
      <c r="C151" s="321" t="s">
        <v>1089</v>
      </c>
    </row>
    <row r="152" spans="1:3" ht="14.5" x14ac:dyDescent="0.3">
      <c r="A152" s="317" t="s">
        <v>4432</v>
      </c>
      <c r="B152" s="318">
        <f>(KDEPmean.A*HEIGHT.aA)*(SYSTEMAREA.A*AREAFRAC.wA)</f>
        <v>204408977177.12939</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306694969054.73676</v>
      </c>
      <c r="C159" s="321" t="s">
        <v>1089</v>
      </c>
    </row>
    <row r="160" spans="1:3" ht="14.5" x14ac:dyDescent="0.3">
      <c r="A160" s="317" t="s">
        <v>4440</v>
      </c>
      <c r="B160" s="318">
        <f>(KDEPmean.M*HEIGHT.aM)*(SYSTEMAREA.M*AREAFRAC.wM)</f>
        <v>306694969054.73676</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309305706614.78741</v>
      </c>
      <c r="C167" s="321" t="s">
        <v>1089</v>
      </c>
    </row>
    <row r="168" spans="1:3" ht="14.5" x14ac:dyDescent="0.3">
      <c r="A168" s="317" t="s">
        <v>4448</v>
      </c>
      <c r="B168" s="318">
        <f>(KDEPmean.T*HEIGHT.aT)*(SYSTEMAREA.T*AREAFRAC.wT)</f>
        <v>721713315434.50391</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8.9931266270753822E-6</v>
      </c>
      <c r="C223" s="319" t="s">
        <v>807</v>
      </c>
    </row>
    <row r="224" spans="1:3" ht="14.5" x14ac:dyDescent="0.3">
      <c r="A224" s="317" t="s">
        <v>810</v>
      </c>
      <c r="B224" s="321">
        <f>0.000000002*SQRT(32)/SQRT(Molweight*1000)</f>
        <v>9.331389496316871E-10</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9.9999999999835203E-4</v>
      </c>
      <c r="C231" s="320" t="s">
        <v>1226</v>
      </c>
    </row>
    <row r="232" spans="1:3" ht="14.5" x14ac:dyDescent="0.3">
      <c r="A232" s="319" t="s">
        <v>2146</v>
      </c>
      <c r="B232" s="318">
        <f>AEROSOLdeprate.C*(FRaerw.aC+FRaers.aC)</f>
        <v>9.999999999983271E-4</v>
      </c>
      <c r="C232" s="319" t="s">
        <v>1226</v>
      </c>
    </row>
    <row r="233" spans="1:3" ht="14.5" x14ac:dyDescent="0.3">
      <c r="A233" s="319" t="s">
        <v>2716</v>
      </c>
      <c r="B233" s="318">
        <f>AEROSOLdeprate.M*(FRaerw.aM+FRaers.aM)</f>
        <v>9.999999999983271E-4</v>
      </c>
      <c r="C233" s="320" t="s">
        <v>1226</v>
      </c>
    </row>
    <row r="234" spans="1:3" ht="14.5" x14ac:dyDescent="0.3">
      <c r="A234" s="319" t="s">
        <v>1225</v>
      </c>
      <c r="B234" s="318">
        <f>AEROSOLdeprate.R*(FRaerw.aR+FRaers.aR)</f>
        <v>9.999999999983271E-4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2.9354264308426775E-2</v>
      </c>
      <c r="C417" s="321" t="s">
        <v>1089</v>
      </c>
    </row>
    <row r="418" spans="1:3" ht="14.5" x14ac:dyDescent="0.3">
      <c r="A418" s="317" t="s">
        <v>4516</v>
      </c>
      <c r="B418" s="318">
        <f>FRgas.aA*(MTCaw.air.aA*MTCaw.water.wA/(FRorig.w1*MTCaw.air.aA*Kaw.A+MTCaw.water.wA))*SYSTEMAREA.A*AREAFRAC.wA</f>
        <v>0.18715819471179457</v>
      </c>
      <c r="C418" s="321" t="s">
        <v>1089</v>
      </c>
    </row>
    <row r="419" spans="1:3" ht="14.5" x14ac:dyDescent="0.3">
      <c r="A419" s="317" t="s">
        <v>4517</v>
      </c>
      <c r="B419" s="318">
        <f>FRgas.aC*(MTCas.air.aC*MTCas.soil.sC)/(MTCas.air.aC*((Kaw.C*FRorig.s1w)/Ks1w.C)+MTCas.soil.sC)*(SYSTEMAREA.C*AREAFRAC.s1C)</f>
        <v>1.6496741079607376E-3</v>
      </c>
      <c r="C419" s="317" t="s">
        <v>1089</v>
      </c>
    </row>
    <row r="420" spans="1:3" ht="14.5" x14ac:dyDescent="0.3">
      <c r="A420" s="317" t="s">
        <v>4518</v>
      </c>
      <c r="B420" s="318">
        <f>FRgas.aC*(MTCas.air.aC*MTCas.soil.sC)/(MTCas.air.aC*((Kaw.C*FRorig.s2w)/Ks2w.C)+MTCas.soil.sC)*(SYSTEMAREA.C*AREAFRAC.s2C)</f>
        <v>3.6659424621349719E-3</v>
      </c>
      <c r="C420" s="317" t="s">
        <v>1089</v>
      </c>
    </row>
    <row r="421" spans="1:3" ht="14.5" x14ac:dyDescent="0.3">
      <c r="A421" s="317" t="s">
        <v>4519</v>
      </c>
      <c r="B421" s="318">
        <f>FRgas.aC*(MTCas.air.aC*MTCas.soil.sC)/(MTCas.air.aC*((Kaw.C*FRorig.s3w)/Ks3w.C)+MTCas.soil.sC)*(SYSTEMAREA.C*AREAFRAC.s3C)</f>
        <v>6.1099041035582858E-4</v>
      </c>
      <c r="C421" s="317" t="s">
        <v>1089</v>
      </c>
    </row>
    <row r="422" spans="1:3" ht="14.5" x14ac:dyDescent="0.3">
      <c r="A422" s="317" t="s">
        <v>4520</v>
      </c>
      <c r="B422" s="318">
        <f>FRgas.aC*(MTCaw.air.aC*MTCaw.water.wC/(FRorig.w1*MTCaw.air.aC*Kaw.C+MTCaw.water.wC))*SYSTEMAREA.C*AREAFRAC.w0C</f>
        <v>6.4926320407210903E-5</v>
      </c>
      <c r="C422" s="317" t="s">
        <v>1089</v>
      </c>
    </row>
    <row r="423" spans="1:3" ht="14.5" x14ac:dyDescent="0.3">
      <c r="A423" s="317" t="s">
        <v>4521</v>
      </c>
      <c r="B423" s="318">
        <f>FRgas.aC*(MTCaw.air.aC*MTCaw.water.wC/(FRorig.w1*MTCaw.air.aC*Kaw.C+MTCaw.water.wC))*SYSTEMAREA.C*AREAFRAC.w1C</f>
        <v>7.1418952447931973E-4</v>
      </c>
      <c r="C423" s="317" t="s">
        <v>1089</v>
      </c>
    </row>
    <row r="424" spans="1:3" ht="14.5" x14ac:dyDescent="0.3">
      <c r="A424" s="317" t="s">
        <v>4522</v>
      </c>
      <c r="B424" s="318">
        <f>FRgas.aC*(MTCaw.air.aC*MTCaw.water.wC/(FRorig.w2*MTCaw.air.aC*Kaw.C+MTCaw.water.wC))*SYSTEMAREA.C*AREAFRAC.w2C</f>
        <v>2.7665991263321438E-2</v>
      </c>
      <c r="C424" s="317" t="s">
        <v>1089</v>
      </c>
    </row>
    <row r="425" spans="1:3" ht="14.5" x14ac:dyDescent="0.3">
      <c r="A425" s="317" t="s">
        <v>4523</v>
      </c>
      <c r="B425" s="318">
        <f>FRgas.aM*(MTCas.air.aM*MTCas.soil.sM/(FRorig.s1*MTCas.air.aM*Kaw.M+MTCas.soil.sM))*SYSTEMAREA.M*AREAFRAC.sM</f>
        <v>6.7982533765154007E-2</v>
      </c>
      <c r="C425" s="321" t="s">
        <v>1089</v>
      </c>
    </row>
    <row r="426" spans="1:3" ht="14.5" x14ac:dyDescent="0.3">
      <c r="A426" s="317" t="s">
        <v>4524</v>
      </c>
      <c r="B426" s="318">
        <f>FRgas.aM*(MTCaw.air.aM*MTCaw.water.wM/(FRorig.w1*MTCaw.air.aM*Kaw.M+MTCaw.water.wM))*SYSTEMAREA.M*AREAFRAC.wM</f>
        <v>0.28896399645683274</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6.7243986938145622E-2</v>
      </c>
      <c r="C433" s="321" t="s">
        <v>1089</v>
      </c>
    </row>
    <row r="434" spans="1:3" ht="14.5" x14ac:dyDescent="0.3">
      <c r="A434" s="317" t="s">
        <v>4532</v>
      </c>
      <c r="B434" s="318">
        <f>FRgas.aT*(MTCaw.air.aT*MTCaw.water.wT/(FRorig.w1*MTCaw.air.aT*Kaw.T+MTCaw.water.wT))*SYSTEMAREA.T*AREAFRAC.wT</f>
        <v>0.66692443333183293</v>
      </c>
      <c r="C434" s="321" t="s">
        <v>1089</v>
      </c>
    </row>
    <row r="435" spans="1:3" ht="14.5" x14ac:dyDescent="0.3">
      <c r="A435" s="317" t="s">
        <v>3095</v>
      </c>
      <c r="B435" s="318">
        <f>FRgas.aA*(tdry.A+twet.A)/twet.A*RAINrate.A/((Kaw.A*FRorig.cldw)+0.0000000555)</f>
        <v>3.9232893894501805E-12</v>
      </c>
      <c r="C435" s="319" t="s">
        <v>1226</v>
      </c>
    </row>
    <row r="436" spans="1:3" ht="14.5" x14ac:dyDescent="0.3">
      <c r="A436" s="317" t="s">
        <v>2149</v>
      </c>
      <c r="B436" s="318">
        <f>FRgas.aC*(tdry.C+twet.C)/twet.C*RAINrate.C/((Kaw.C*FRorig.cldw)+0.0000000555)</f>
        <v>1.1150980103519788E-11</v>
      </c>
      <c r="C436" s="319" t="s">
        <v>1226</v>
      </c>
    </row>
    <row r="437" spans="1:3" ht="14.5" x14ac:dyDescent="0.3">
      <c r="A437" s="317" t="s">
        <v>2718</v>
      </c>
      <c r="B437" s="318">
        <f>FRgas.aM*(tdry.M+twet.M)/twet.M*RAINrate.M/((Kaw.M*FRorig.cldw)+0.0000000555)</f>
        <v>1.1150980103519788E-11</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46.834690152986369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3.6632588617614458E-10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3.6632588710578216E-10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3.6632588710578216E-10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3.6632588710578216E-10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3.663258877113768E-10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2.7056449122625908E-9</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2.7056449122625908E-9</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2.6884976624560323E-9</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2.6884976624560323E-9</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2.7056449122625908E-9</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2.7056449122625908E-9</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5.9323984324986868E-10</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3.1416462888881059E-9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3.1627861501187869E-9</v>
      </c>
      <c r="C509" s="317" t="s">
        <v>642</v>
      </c>
    </row>
    <row r="510" spans="1:3" ht="14.5" x14ac:dyDescent="0.3">
      <c r="A510" s="317" t="s">
        <v>4578</v>
      </c>
      <c r="B510" s="318">
        <f>(RESUSPflow.sd1R.w1R+DESORBflow.sd1R.w1R)/VOLUME.sd1R</f>
        <v>9.8718375760761382E-18</v>
      </c>
      <c r="C510" s="317" t="s">
        <v>642</v>
      </c>
    </row>
    <row r="511" spans="1:3" ht="14.5" x14ac:dyDescent="0.3">
      <c r="A511" s="317" t="s">
        <v>2220</v>
      </c>
      <c r="B511" s="318">
        <f>Tempfactor.wsdsC*kdeg.sed+NETsedrate.w2C*SYSTEMAREA.C*AREAFRAC.w2C/VOLUME.sd2C</f>
        <v>1.1807512270678802E-9</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1.1817111353210503E-9</v>
      </c>
      <c r="C513" s="317" t="s">
        <v>642</v>
      </c>
    </row>
    <row r="514" spans="1:3" ht="14.5" x14ac:dyDescent="0.3">
      <c r="A514" s="317" t="s">
        <v>4581</v>
      </c>
      <c r="B514" s="318">
        <f>(RESUSPflow.sd2R.w2R+DESORBflow.sd2R.w2R)/VOLUME.sd2R</f>
        <v>4.4425291563015637E-17</v>
      </c>
      <c r="C514" s="317" t="s">
        <v>642</v>
      </c>
    </row>
    <row r="515" spans="1:3" ht="14.5" x14ac:dyDescent="0.3">
      <c r="A515" s="317" t="s">
        <v>4582</v>
      </c>
      <c r="B515" s="318">
        <f>Tempfactor.wsdsA*kdeg.sed+NETsedrate.wA*SYSTEMAREA.A*AREAFRAC.wA/VOLUME.sdA</f>
        <v>6.031418563876915E-11</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2.7040182804920299E-10</v>
      </c>
      <c r="C517" s="317" t="s">
        <v>642</v>
      </c>
    </row>
    <row r="518" spans="1:3" ht="14.5" x14ac:dyDescent="0.3">
      <c r="A518" s="317" t="s">
        <v>4585</v>
      </c>
      <c r="B518" s="318">
        <f>(RESUSPflow.sdM.w3M+DESORBflow.sdM.w3M)/VOLUME.sdM</f>
        <v>1.1689032156088774E-21</v>
      </c>
      <c r="C518" s="317" t="s">
        <v>642</v>
      </c>
    </row>
    <row r="519" spans="1:3" ht="14.5" x14ac:dyDescent="0.3">
      <c r="A519" s="317" t="s">
        <v>4586</v>
      </c>
      <c r="B519" s="318">
        <f>Tempfactor.wsdsT*kdeg.sed+NETsedrate.wT*SYSTEMAREA.T*AREAFRAC.wT/VOLUME.sdT</f>
        <v>6.6057407793175462E-10</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2.7056449122625908E-9</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6.6430377285554063E-9</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5.3469142078548131E-8</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5.3391744945602903E-8</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4.1340978113776672E-18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1.1631665102429888E-8</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5.3445098276150513E-8</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5.3445098276150513E-8</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4.8645427583599312E-18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1.3159726832670545E-7</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1.1631665102429888E-8</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5.3445098276150513E-8</v>
      </c>
      <c r="C573" s="317" t="s">
        <v>642</v>
      </c>
    </row>
    <row r="574" spans="1:3" ht="14.5" x14ac:dyDescent="0.3">
      <c r="A574" s="317" t="s">
        <v>4616</v>
      </c>
      <c r="B574" s="318">
        <f>(SEDflow.w3M.sdM+ADSORBflow.w3M.sdM)/VOLUME.w3M</f>
        <v>4.1807131277019266E-25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1.3159726832670545E-7</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6.3827072128911933E+20</v>
      </c>
      <c r="C588" s="321" t="s">
        <v>1112</v>
      </c>
    </row>
    <row r="589" spans="1:3" ht="15" x14ac:dyDescent="0.3">
      <c r="A589" s="321" t="s">
        <v>2065</v>
      </c>
      <c r="B589" s="323">
        <f>1/(Kaw.C*FRorig.aerw)</f>
        <v>1.8842900170831705E+20</v>
      </c>
      <c r="C589" s="321" t="s">
        <v>1112</v>
      </c>
    </row>
    <row r="590" spans="1:3" ht="15" x14ac:dyDescent="0.3">
      <c r="A590" s="321" t="s">
        <v>2654</v>
      </c>
      <c r="B590" s="323">
        <f>1/(Kaw.M*FRorig.aerw)</f>
        <v>1.8842900170831705E+20</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1.5667333102485004E-21</v>
      </c>
      <c r="C594" s="317" t="s">
        <v>314</v>
      </c>
    </row>
    <row r="595" spans="1:3" x14ac:dyDescent="0.3">
      <c r="A595" s="317" t="s">
        <v>2063</v>
      </c>
      <c r="B595" s="323">
        <f>Kaw*EXP((H0vap/8.314)*(1/298-1/TEMP.C))*EXP(-(H0sol/8.314)*(1/298-1/TEMP.C))*(298/TEMP.C)</f>
        <v>5.307038677347411E-21</v>
      </c>
      <c r="C595" s="317" t="s">
        <v>314</v>
      </c>
    </row>
    <row r="596" spans="1:3" x14ac:dyDescent="0.3">
      <c r="A596" s="317" t="s">
        <v>2651</v>
      </c>
      <c r="B596" s="318">
        <f>Kaw*EXP((H0vap/8.314)*(1/298-1/TEMP.M))*EXP(-(H0sol/8.314)*(1/298-1/TEMP.M))*(298/TEMP.M)</f>
        <v>5.307038677347411E-21</v>
      </c>
      <c r="C596" s="317" t="s">
        <v>314</v>
      </c>
    </row>
    <row r="597" spans="1:3" ht="15" x14ac:dyDescent="0.3">
      <c r="A597" s="321" t="s">
        <v>4619</v>
      </c>
      <c r="B597" s="323">
        <f>Kaw*EXP((H0vap/8.314)*(1/298-1/TEMP.R))*EXP(-(H0sol/8.314)*(1/298-1/TEMP.R))*(298/TEMP.R)</f>
        <v>5.307038677347411E-21</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6.3827072128911933E+20</v>
      </c>
      <c r="C599" s="321" t="s">
        <v>4621</v>
      </c>
    </row>
    <row r="600" spans="1:3" ht="15" x14ac:dyDescent="0.3">
      <c r="A600" s="321" t="s">
        <v>4622</v>
      </c>
      <c r="B600" s="323">
        <f>1/(Kaw.C*FRorig.cldw)</f>
        <v>1.8842900170831705E+20</v>
      </c>
      <c r="C600" s="321" t="s">
        <v>4621</v>
      </c>
    </row>
    <row r="601" spans="1:3" ht="15" x14ac:dyDescent="0.3">
      <c r="A601" s="321" t="s">
        <v>4623</v>
      </c>
      <c r="B601" s="323">
        <f>1/(Kaw.M*FRorig.cldw)</f>
        <v>1.8842900170831705E+20</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4.3479982771282625E-18</v>
      </c>
      <c r="C604" s="317" t="s">
        <v>642</v>
      </c>
    </row>
    <row r="605" spans="1:3" ht="14.5" x14ac:dyDescent="0.3">
      <c r="A605" s="317" t="s">
        <v>2225</v>
      </c>
      <c r="B605" s="318">
        <f>FRgas.aC*kdegG.air*(C.OHrad.aC/C.OHrad)*Tempfactor.aC</f>
        <v>5.2776358660991025E-18</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5.2776358660991025E-18</v>
      </c>
      <c r="C607" s="317" t="s">
        <v>642</v>
      </c>
    </row>
    <row r="608" spans="1:3" ht="14.5" x14ac:dyDescent="0.3">
      <c r="A608" s="317" t="s">
        <v>1375</v>
      </c>
      <c r="B608" s="318">
        <f>FRgas.aR*kdegG.air*(C.OHrad.aR/C.OHrad)*Tempfactor.aR</f>
        <v>5.2776358660991025E-18</v>
      </c>
      <c r="C608" s="317" t="s">
        <v>642</v>
      </c>
    </row>
    <row r="609" spans="1:3" ht="14.5" x14ac:dyDescent="0.3">
      <c r="A609" s="317" t="s">
        <v>3443</v>
      </c>
      <c r="B609" s="318">
        <f>FRgas.aT*kdegG.air*(C.OHrad.aT/C.OHrad)*Tempfactor.aT</f>
        <v>5.8832304738138525E-18</v>
      </c>
      <c r="C609" s="317" t="s">
        <v>642</v>
      </c>
    </row>
    <row r="610" spans="1:3" ht="14.5" x14ac:dyDescent="0.3">
      <c r="A610" s="317" t="s">
        <v>2241</v>
      </c>
      <c r="B610" s="323">
        <f>Tempfactor.wsdsC*kdeg.soil</f>
        <v>2.6741789373454676E-9</v>
      </c>
      <c r="C610" s="317" t="s">
        <v>642</v>
      </c>
    </row>
    <row r="611" spans="1:3" ht="14.5" x14ac:dyDescent="0.3">
      <c r="A611" s="317" t="s">
        <v>1404</v>
      </c>
      <c r="B611" s="318">
        <f>Tempfactor.wsdsR*kdeg.soil</f>
        <v>2.6741789373454676E-9</v>
      </c>
      <c r="C611" s="317" t="s">
        <v>642</v>
      </c>
    </row>
    <row r="612" spans="1:3" ht="14.5" x14ac:dyDescent="0.3">
      <c r="A612" s="317" t="s">
        <v>2242</v>
      </c>
      <c r="B612" s="323">
        <f>Tempfactor.wsdsC*kdeg.soil</f>
        <v>2.6741789373454676E-9</v>
      </c>
      <c r="C612" s="317" t="s">
        <v>642</v>
      </c>
    </row>
    <row r="613" spans="1:3" ht="14.5" x14ac:dyDescent="0.3">
      <c r="A613" s="317" t="s">
        <v>1406</v>
      </c>
      <c r="B613" s="318">
        <f>Tempfactor.wsdsR*kdeg.soil</f>
        <v>2.6741789373454676E-9</v>
      </c>
      <c r="C613" s="317" t="s">
        <v>642</v>
      </c>
    </row>
    <row r="614" spans="1:3" ht="14.5" x14ac:dyDescent="0.3">
      <c r="A614" s="317" t="s">
        <v>2243</v>
      </c>
      <c r="B614" s="323">
        <f>Tempfactor.wsdsC*kdeg.soil</f>
        <v>2.6741789373454676E-9</v>
      </c>
      <c r="C614" s="317" t="s">
        <v>642</v>
      </c>
    </row>
    <row r="615" spans="1:3" ht="14.5" x14ac:dyDescent="0.3">
      <c r="A615" s="317" t="s">
        <v>1408</v>
      </c>
      <c r="B615" s="318">
        <f>Tempfactor.wsdsR*kdeg.soil</f>
        <v>2.6741789373454676E-9</v>
      </c>
      <c r="C615" s="317" t="s">
        <v>642</v>
      </c>
    </row>
    <row r="616" spans="1:3" ht="14.5" x14ac:dyDescent="0.3">
      <c r="A616" s="317" t="s">
        <v>3144</v>
      </c>
      <c r="B616" s="323">
        <f>Tempfactor.wsdsA*kdeg.soil</f>
        <v>5.8200199506518189E-10</v>
      </c>
      <c r="C616" s="317" t="s">
        <v>642</v>
      </c>
    </row>
    <row r="617" spans="1:3" ht="14.5" x14ac:dyDescent="0.3">
      <c r="A617" s="317" t="s">
        <v>2239</v>
      </c>
      <c r="B617" s="323">
        <f>Tempfactor.wsdsC*kdeg.sed</f>
        <v>2.6741789373454681E-10</v>
      </c>
      <c r="C617" s="317" t="s">
        <v>642</v>
      </c>
    </row>
    <row r="618" spans="1:3" ht="14.5" x14ac:dyDescent="0.3">
      <c r="A618" s="317" t="s">
        <v>1400</v>
      </c>
      <c r="B618" s="318">
        <f>Tempfactor.wsdsR*kdeg.sed</f>
        <v>2.6741789373454681E-10</v>
      </c>
      <c r="C618" s="317" t="s">
        <v>642</v>
      </c>
    </row>
    <row r="619" spans="1:3" ht="14.5" x14ac:dyDescent="0.3">
      <c r="A619" s="317" t="s">
        <v>2240</v>
      </c>
      <c r="B619" s="323">
        <f>Tempfactor.wsdsC*kdeg.sed</f>
        <v>2.6741789373454681E-10</v>
      </c>
      <c r="C619" s="317" t="s">
        <v>642</v>
      </c>
    </row>
    <row r="620" spans="1:3" ht="14.5" x14ac:dyDescent="0.3">
      <c r="A620" s="317" t="s">
        <v>1402</v>
      </c>
      <c r="B620" s="318">
        <f>Tempfactor.wsdsR*kdeg.sed</f>
        <v>2.6741789373454681E-10</v>
      </c>
      <c r="C620" s="317" t="s">
        <v>642</v>
      </c>
    </row>
    <row r="621" spans="1:3" ht="14.5" x14ac:dyDescent="0.3">
      <c r="A621" s="317" t="s">
        <v>3143</v>
      </c>
      <c r="B621" s="323">
        <f>Tempfactor.wsdsA*kdeg.sed</f>
        <v>5.8200199506518201E-11</v>
      </c>
      <c r="C621" s="317" t="s">
        <v>642</v>
      </c>
    </row>
    <row r="622" spans="1:3" ht="14.5" x14ac:dyDescent="0.3">
      <c r="A622" s="317" t="s">
        <v>2789</v>
      </c>
      <c r="B622" s="318">
        <f>Tempfactor.wsdsM*kdeg.sed</f>
        <v>2.6741789373454681E-10</v>
      </c>
      <c r="C622" s="317" t="s">
        <v>642</v>
      </c>
    </row>
    <row r="623" spans="1:3" ht="14.5" x14ac:dyDescent="0.3">
      <c r="A623" s="317" t="s">
        <v>3452</v>
      </c>
      <c r="B623" s="318">
        <f>Tempfactor.wsdsT*kdeg.sed</f>
        <v>6.5846009179950362E-10</v>
      </c>
      <c r="C623" s="317" t="s">
        <v>642</v>
      </c>
    </row>
    <row r="624" spans="1:3" ht="91" x14ac:dyDescent="0.3">
      <c r="A624" s="319" t="s">
        <v>4626</v>
      </c>
      <c r="B624" s="326" t="s">
        <v>4627</v>
      </c>
      <c r="C624" s="317" t="s">
        <v>642</v>
      </c>
    </row>
    <row r="625" spans="1:3" ht="14.5" x14ac:dyDescent="0.3">
      <c r="A625" s="317" t="s">
        <v>2791</v>
      </c>
      <c r="B625" s="318">
        <f>Tempfactor.wsdsM*kdeg.soil</f>
        <v>2.6741789373454676E-9</v>
      </c>
      <c r="C625" s="317" t="s">
        <v>642</v>
      </c>
    </row>
    <row r="626" spans="1:3" ht="91" x14ac:dyDescent="0.3">
      <c r="A626" s="319" t="s">
        <v>4628</v>
      </c>
      <c r="B626" s="326" t="s">
        <v>4629</v>
      </c>
      <c r="C626" s="317" t="s">
        <v>642</v>
      </c>
    </row>
    <row r="627" spans="1:3" ht="14.5" x14ac:dyDescent="0.3">
      <c r="A627" s="317" t="s">
        <v>3453</v>
      </c>
      <c r="B627" s="318">
        <f>Tempfactor.wsdsT*kdeg.soil</f>
        <v>6.5846009179950347E-9</v>
      </c>
      <c r="C627" s="317" t="s">
        <v>642</v>
      </c>
    </row>
    <row r="628" spans="1:3" ht="14.5" x14ac:dyDescent="0.3">
      <c r="A628" s="317" t="s">
        <v>2230</v>
      </c>
      <c r="B628" s="318">
        <f>kdeg.water*Tempfactor.wsdsC*(BACT.w0C/BACT.test)*FRw.w0C</f>
        <v>5.3469142078548131E-8</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5.3391744945602903E-8</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1.1631665102429888E-8</v>
      </c>
      <c r="C632" s="317" t="s">
        <v>642</v>
      </c>
    </row>
    <row r="633" spans="1:3" ht="14.5" x14ac:dyDescent="0.3">
      <c r="A633" s="317" t="s">
        <v>2232</v>
      </c>
      <c r="B633" s="318">
        <f>kdeg.water*Tempfactor.wsdsC*(BACT.w2C/BACT.test)*FRw.w2C</f>
        <v>5.3445098276150513E-8</v>
      </c>
      <c r="C633" s="317" t="s">
        <v>642</v>
      </c>
    </row>
    <row r="634" spans="1:3" ht="14.5" x14ac:dyDescent="0.3">
      <c r="A634" s="317" t="s">
        <v>2780</v>
      </c>
      <c r="B634" s="318">
        <f>kdeg.water*Tempfactor.wsdsM*(BACT.w2M/BACT.test)*FRw.w2M</f>
        <v>5.3445098276150513E-8</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1.3159726832670545E-7</v>
      </c>
      <c r="C636" s="317" t="s">
        <v>642</v>
      </c>
    </row>
    <row r="637" spans="1:3" ht="14.5" x14ac:dyDescent="0.3">
      <c r="A637" s="317" t="s">
        <v>3138</v>
      </c>
      <c r="B637" s="323">
        <f>kdeg.water*Tempfactor.wsdsA*(BACT.w3A/BACT.test)*FRw.w3A</f>
        <v>1.1631665102429888E-8</v>
      </c>
      <c r="C637" s="317" t="s">
        <v>642</v>
      </c>
    </row>
    <row r="638" spans="1:3" ht="14.5" x14ac:dyDescent="0.3">
      <c r="A638" s="317" t="s">
        <v>2782</v>
      </c>
      <c r="B638" s="318">
        <f>kdeg.water*Tempfactor.wsdsM*(BACT.w3M/BACT.test)*FRw.w3M</f>
        <v>5.3445098276150513E-8</v>
      </c>
      <c r="C638" s="317" t="s">
        <v>642</v>
      </c>
    </row>
    <row r="639" spans="1:3" ht="14.5" x14ac:dyDescent="0.3">
      <c r="A639" s="317" t="s">
        <v>3448</v>
      </c>
      <c r="B639" s="318">
        <f>kdeg.water*Tempfactor.wsdsT*(BACT.w3T/BACT.test)*FRw.w3T</f>
        <v>1.3159726832670545E-7</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5.8200199506518189E-11</v>
      </c>
      <c r="C750" s="319" t="s">
        <v>1226</v>
      </c>
    </row>
    <row r="751" spans="1:3" ht="14.5" x14ac:dyDescent="0.3">
      <c r="A751" s="321" t="s">
        <v>4656</v>
      </c>
      <c r="B751" s="323">
        <f>0.1*KDEG.s1C</f>
        <v>2.6741789373454676E-10</v>
      </c>
      <c r="C751" s="319" t="s">
        <v>1226</v>
      </c>
    </row>
    <row r="752" spans="1:3" ht="14.5" x14ac:dyDescent="0.3">
      <c r="A752" s="321" t="s">
        <v>2735</v>
      </c>
      <c r="B752" s="318">
        <f>0.1*KDEG.sM</f>
        <v>2.6741789373454676E-10</v>
      </c>
      <c r="C752" s="319" t="s">
        <v>1226</v>
      </c>
    </row>
    <row r="753" spans="1:3" ht="14.5" x14ac:dyDescent="0.3">
      <c r="A753" s="321" t="s">
        <v>1259</v>
      </c>
      <c r="B753" s="318">
        <f>0.1*KDEG.s1R</f>
        <v>2.6741789373454676E-10</v>
      </c>
      <c r="C753" s="319" t="s">
        <v>1226</v>
      </c>
    </row>
    <row r="754" spans="1:3" ht="14.5" x14ac:dyDescent="0.3">
      <c r="A754" s="321" t="s">
        <v>3419</v>
      </c>
      <c r="B754" s="318">
        <f>0.1*KDEG.sT</f>
        <v>6.5846009179950351E-10</v>
      </c>
      <c r="C754" s="319" t="s">
        <v>1226</v>
      </c>
    </row>
    <row r="755" spans="1:3" ht="14.5" x14ac:dyDescent="0.3">
      <c r="A755" s="321" t="s">
        <v>3103</v>
      </c>
      <c r="B755" s="318">
        <f>0.01*(0.3+0.2*WINDspeed.A)*((0.018/Molweight)^(0.67*0.5))</f>
        <v>4.4535618852450994E-3</v>
      </c>
      <c r="C755" s="320" t="s">
        <v>1226</v>
      </c>
    </row>
    <row r="756" spans="1:3" ht="14.5" x14ac:dyDescent="0.3">
      <c r="A756" s="321" t="s">
        <v>4657</v>
      </c>
      <c r="B756" s="318">
        <f>0.01*(0.3+0.2*WINDspeed.C)*((0.018/Molweight)^(0.67*0.5))</f>
        <v>4.4535618852450994E-3</v>
      </c>
      <c r="C756" s="319" t="s">
        <v>1226</v>
      </c>
    </row>
    <row r="757" spans="1:3" ht="14.5" x14ac:dyDescent="0.3">
      <c r="A757" s="321" t="s">
        <v>2730</v>
      </c>
      <c r="B757" s="318">
        <f>0.01*(0.3+0.2*WINDspeed.M)*((0.018/Molweight)^(0.67*0.5))</f>
        <v>4.4535618852450994E-3</v>
      </c>
      <c r="C757" s="320" t="s">
        <v>1226</v>
      </c>
    </row>
    <row r="758" spans="1:3" ht="14.5" x14ac:dyDescent="0.3">
      <c r="A758" s="321" t="s">
        <v>1247</v>
      </c>
      <c r="B758" s="318">
        <f>0.01*(0.3+0.2*WINDspeed.R)*((0.018/Molweight)^(0.67*0.5))</f>
        <v>4.4535618852450994E-3</v>
      </c>
      <c r="C758" s="319" t="s">
        <v>1226</v>
      </c>
    </row>
    <row r="759" spans="1:3" ht="14.5" x14ac:dyDescent="0.3">
      <c r="A759" s="321" t="s">
        <v>3415</v>
      </c>
      <c r="B759" s="318">
        <f>0.01*(0.3+0.2*WINDspeed.T)*((0.018/Molweight)^(0.67*0.5))</f>
        <v>4.4535618852450994E-3</v>
      </c>
      <c r="C759" s="320" t="s">
        <v>1226</v>
      </c>
    </row>
    <row r="760" spans="1:3" ht="14.5" x14ac:dyDescent="0.3">
      <c r="A760" s="321" t="s">
        <v>3104</v>
      </c>
      <c r="B760" s="318">
        <f>0.01*(0.0004+0.00004*WINDspeed.A^2)*((0.032/Molweight)^(0.5*0.5))</f>
        <v>5.191247717588049E-6</v>
      </c>
      <c r="C760" s="320" t="s">
        <v>1226</v>
      </c>
    </row>
    <row r="761" spans="1:3" ht="14.5" x14ac:dyDescent="0.3">
      <c r="A761" s="321" t="s">
        <v>4658</v>
      </c>
      <c r="B761" s="318">
        <f>0.01*(0.0004+0.00004*WINDspeed.C^2)*((0.032/Molweight)^(0.5*0.5))</f>
        <v>5.191247717588049E-6</v>
      </c>
      <c r="C761" s="319" t="s">
        <v>1226</v>
      </c>
    </row>
    <row r="762" spans="1:3" ht="14.5" x14ac:dyDescent="0.3">
      <c r="A762" s="321" t="s">
        <v>2731</v>
      </c>
      <c r="B762" s="318">
        <f>0.01*(0.0004+0.00004*WINDspeed.M^2)*((0.032/Molweight)^(0.5*0.5))</f>
        <v>5.191247717588049E-6</v>
      </c>
      <c r="C762" s="320" t="s">
        <v>1226</v>
      </c>
    </row>
    <row r="763" spans="1:3" ht="14.5" x14ac:dyDescent="0.3">
      <c r="A763" s="321" t="s">
        <v>1249</v>
      </c>
      <c r="B763" s="318">
        <f>0.01*(0.0004+0.00004*WINDspeed.R^2)*((0.032/Molweight)^(0.5*0.5))</f>
        <v>5.191247717588049E-6</v>
      </c>
      <c r="C763" s="319" t="s">
        <v>1226</v>
      </c>
    </row>
    <row r="764" spans="1:3" ht="14.5" x14ac:dyDescent="0.3">
      <c r="A764" s="321" t="s">
        <v>3416</v>
      </c>
      <c r="B764" s="318">
        <f>0.01*(0.0004+0.00004*WINDspeed.T^2)*((0.032/Molweight)^(0.5*0.5))</f>
        <v>5.191247717588049E-6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34.762780277620003</v>
      </c>
      <c r="C784" s="321" t="s">
        <v>596</v>
      </c>
    </row>
    <row r="785" spans="1:3" x14ac:dyDescent="0.3">
      <c r="A785" s="317" t="s">
        <v>4660</v>
      </c>
      <c r="B785" s="323">
        <f>IF(Tm&gt;298,EXP(-6.79*(1-Tm/298))*Pvap25*EXP((H0vap/8.314)*(1/298-1/TEMP.C)),Pvap25*EXP((H0vap/8.314)*(1/298-1/TEMP.C)))</f>
        <v>181.62679806048695</v>
      </c>
      <c r="C785" s="317" t="s">
        <v>596</v>
      </c>
    </row>
    <row r="786" spans="1:3" x14ac:dyDescent="0.3">
      <c r="A786" s="317" t="s">
        <v>4661</v>
      </c>
      <c r="B786" s="318">
        <f>IF(Tm&gt;298,EXP(-6.79*(1-Tm/298))*Pvap25*EXP((H0vap/8.314)*(1/298-1/TEMP.M)),Pvap25*EXP((H0vap/8.314)*(1/298-1/TEMP.M)))</f>
        <v>181.62679806048695</v>
      </c>
      <c r="C786" s="317" t="s">
        <v>596</v>
      </c>
    </row>
    <row r="787" spans="1:3" x14ac:dyDescent="0.3">
      <c r="A787" s="321" t="s">
        <v>4662</v>
      </c>
      <c r="B787" s="323">
        <f>IF(Tm&gt;298,EXP(-6.79*(1-Tm/298))*Pvap25*EXP((H0vap/8.314)*(1/298-1/TEMP.R)),Pvap25*EXP((H0vap/8.314)*(1/298-1/TEMP.R)))</f>
        <v>181.62679806048695</v>
      </c>
      <c r="C787" s="321" t="s">
        <v>596</v>
      </c>
    </row>
    <row r="788" spans="1:3" x14ac:dyDescent="0.3">
      <c r="A788" s="317" t="s">
        <v>4663</v>
      </c>
      <c r="B788" s="323">
        <f>IF(Tm&gt;298,EXP(-6.79*(1-Tm/298))*Pvap25*EXP((H0vap/8.314)*(1/298-1/TEMP.T)),Pvap25*EXP((H0vap/8.314)*(1/298-1/TEMP.T)))</f>
        <v>430.18581249800178</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4221.6893349785678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54567.183937146103</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374713.05091471871</v>
      </c>
      <c r="C832" s="321" t="s">
        <v>1089</v>
      </c>
    </row>
    <row r="833" spans="1:3" ht="14.5" x14ac:dyDescent="0.3">
      <c r="A833" s="317" t="s">
        <v>4693</v>
      </c>
      <c r="B833" s="318">
        <f>(GROSSSEDrate.w3M*FRACs.sdM*RHOsolid/SUSP.w3M)*((Kp.susp3M*SUSP.w3M/1000)*FRw.w3M)*(SYSTEMAREA.M*AREAFRAC.wM)</f>
        <v>569939.87295793742</v>
      </c>
      <c r="C833" s="321" t="s">
        <v>1089</v>
      </c>
    </row>
    <row r="834" spans="1:3" ht="14.5" x14ac:dyDescent="0.3">
      <c r="A834" s="317" t="s">
        <v>4694</v>
      </c>
      <c r="B834" s="318">
        <f>(GROSSSEDrate.w3T*FRACs.sdT*RHOsolid/SUSP.w3T)*((Kp.susp3T*SUSP.w3T/1000)*FRw.w3T)*(SYSTEMAREA.T*AREAFRAC.wT)</f>
        <v>1311495.6782015155</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69.497221916253579</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2.2020984627393746E-13</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8.9073264798736667E-13</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8.1559202323680522E-14</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2.5161771203821349E-39</v>
      </c>
      <c r="C921" s="321" t="s">
        <v>1089</v>
      </c>
    </row>
    <row r="922" spans="1:3" ht="14.5" x14ac:dyDescent="0.3">
      <c r="A922" s="317" t="s">
        <v>4728</v>
      </c>
      <c r="B922" s="318">
        <f>(MTCas.air.aM*MTCas.soil.sM/(MTCas.air.aM+MTCas.soil.sM/((Kaw.M*FRorig.s1w)/Ksw.M)*(SYSTEMAREA.M*AREAFRAC.sM*CORRvolat.sM)))</f>
        <v>3.7357422472000026E-39</v>
      </c>
      <c r="C922" s="321" t="s">
        <v>1089</v>
      </c>
    </row>
    <row r="923" spans="1:3" ht="14.5" x14ac:dyDescent="0.3">
      <c r="A923" s="317" t="s">
        <v>4729</v>
      </c>
      <c r="B923" s="318">
        <f>(MTCas.air.aT*MTCas.soil.sT/(MTCas.air.aT+MTCas.soil.sT/((Kaw.T*FRorig.s1w)/Ksw.T)*(SYSTEMAREA.T*AREAFRAC.sT*CORRvolat.sT)))</f>
        <v>7.137787491188817E-39</v>
      </c>
      <c r="C923" s="321" t="s">
        <v>1089</v>
      </c>
    </row>
    <row r="924" spans="1:3" ht="14.5" x14ac:dyDescent="0.3">
      <c r="A924" s="317" t="s">
        <v>4730</v>
      </c>
      <c r="B924" s="318">
        <f>(MTCaw.air.aC*MTCaw.water.wC/(FRorig.w1*MTCaw.air.aC*Kaw.C+MTCaw.water.wC))*Kaw.C*(FRw.w0C*FRorig.w1)*(SYSTEMAREA.C*AREAFRAC.w0C)</f>
        <v>2.0591593602437411E-13</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2.2617965764865506E-12</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1.7779935021694228E-10</v>
      </c>
      <c r="C928" s="321" t="s">
        <v>1089</v>
      </c>
    </row>
    <row r="929" spans="1:3" ht="14.5" x14ac:dyDescent="0.3">
      <c r="A929" s="317" t="s">
        <v>4735</v>
      </c>
      <c r="B929" s="318">
        <f>(MTCaw.air.aC*MTCaw.water.wC/(FRorig.w2*MTCaw.air.aC*Kaw.C+MTCaw.water.wC))*Kaw.C*(FRw.w2C*FRorig.w2)*(SYSTEMAREA.C*AREAFRAC.w2C)</f>
        <v>8.7704134547485968E-11</v>
      </c>
      <c r="C929" s="317" t="s">
        <v>1089</v>
      </c>
    </row>
    <row r="930" spans="1:3" ht="14.5" x14ac:dyDescent="0.3">
      <c r="A930" s="317" t="s">
        <v>4736</v>
      </c>
      <c r="B930" s="318">
        <f>(MTCaw.air.aM*MTCaw.water.wM/(FRorig.w1*MTCaw.air.aM*Kaw.M+MTCaw.water.wM))*Kaw.M*(FRw.w2M*FRorig.w1)*(SYSTEMAREA.M*AREAFRAC.wM)</f>
        <v>9.1604659971929472E-10</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3.9719441827696561E-9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3723.9002415421965</v>
      </c>
      <c r="R4" s="11">
        <f>$E$11</f>
        <v>102.87479819882026</v>
      </c>
      <c r="S4" s="685">
        <f>SUM(T4:V4)</f>
        <v>0.41884765759454234</v>
      </c>
      <c r="T4" s="11">
        <f>$G$11</f>
        <v>0.4174015182055596</v>
      </c>
      <c r="U4" s="11">
        <f>$I$11</f>
        <v>9.3052833745445426E-4</v>
      </c>
      <c r="V4" s="962">
        <f>$K$11</f>
        <v>5.156110515283105E-4</v>
      </c>
      <c r="W4" s="11"/>
      <c r="X4" s="11"/>
      <c r="Y4" s="11"/>
      <c r="Z4" s="11"/>
      <c r="AA4" s="11"/>
      <c r="AB4" s="11"/>
      <c r="AC4" s="11"/>
      <c r="AD4" s="11"/>
      <c r="AE4" s="960"/>
      <c r="AF4" s="410" t="s">
        <v>4750</v>
      </c>
      <c r="AG4" s="685">
        <f>C15</f>
        <v>91.099896920522426</v>
      </c>
      <c r="AH4" s="685">
        <f>SUM(C23,C39,C55)</f>
        <v>0.30493376360796359</v>
      </c>
      <c r="AI4" s="685">
        <f>SUM(C31,C47,C71)</f>
        <v>7.1895628755484556E-5</v>
      </c>
      <c r="AJ4" s="961">
        <f>SUM(C79,C87,C95)</f>
        <v>1.1228329191624505E-2</v>
      </c>
      <c r="AK4" s="11"/>
      <c r="AL4" s="11"/>
      <c r="AM4" s="11"/>
      <c r="AN4" s="11"/>
      <c r="AO4" s="11"/>
      <c r="AP4" s="11"/>
      <c r="AQ4" s="11"/>
      <c r="AR4" s="11"/>
      <c r="AS4" s="11"/>
    </row>
    <row r="5" spans="1:45" ht="12.75" customHeight="1" x14ac:dyDescent="0.45">
      <c r="A5" s="17"/>
      <c r="B5" s="21" t="s">
        <v>85</v>
      </c>
      <c r="C5" s="918" t="str">
        <f>ChemName</f>
        <v>microplastic</v>
      </c>
      <c r="D5" s="38"/>
      <c r="E5" s="38"/>
      <c r="F5" s="38"/>
      <c r="G5" s="447"/>
      <c r="H5" s="448"/>
      <c r="I5" s="448"/>
      <c r="J5" s="448"/>
      <c r="K5" s="38"/>
      <c r="L5" s="38"/>
      <c r="M5" s="17"/>
      <c r="N5" s="156"/>
      <c r="O5" s="11"/>
      <c r="P5" s="467" t="s">
        <v>4744</v>
      </c>
      <c r="Q5" s="685">
        <f>SUM(C19,C35,C51)</f>
        <v>19337.802744018234</v>
      </c>
      <c r="R5" s="685">
        <f>SUM(E19,E35,E51)</f>
        <v>2834.9162695841751</v>
      </c>
      <c r="S5" s="685">
        <f>SUM(T5:V5)</f>
        <v>947.33134577156773</v>
      </c>
      <c r="T5" s="685">
        <f>SUM(G51,G59)</f>
        <v>928.771393896576</v>
      </c>
      <c r="U5" s="685">
        <f>SUM(I51,I59)</f>
        <v>8.9348518575311857</v>
      </c>
      <c r="V5" s="961">
        <f>SUM(K51,K59)</f>
        <v>9.625100017460559</v>
      </c>
      <c r="W5" s="11"/>
      <c r="X5" s="11"/>
      <c r="Y5" s="11"/>
      <c r="Z5" s="11"/>
      <c r="AA5" s="11"/>
      <c r="AB5" s="11"/>
      <c r="AC5" s="11"/>
      <c r="AD5" s="11"/>
      <c r="AE5" s="960"/>
      <c r="AF5" s="410" t="s">
        <v>4751</v>
      </c>
      <c r="AG5" s="685">
        <f>C16</f>
        <v>3632.7996129509302</v>
      </c>
      <c r="AH5" s="685">
        <f>SUM(C24,C40,C56)</f>
        <v>19328.94147073866</v>
      </c>
      <c r="AI5" s="685">
        <f>SUM(C32,C48,C72)</f>
        <v>25813553.58726979</v>
      </c>
      <c r="AJ5" s="961">
        <f>SUM(C80,C88,C96)</f>
        <v>6142401.3785668416</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25834445.121218491</v>
      </c>
      <c r="R6" s="685">
        <f>SUM(E27,E43,E67)</f>
        <v>256892.31124404457</v>
      </c>
      <c r="S6" s="685">
        <f>SUM(T6:V6)</f>
        <v>3414.0880373418599</v>
      </c>
      <c r="T6" s="685">
        <f>G67</f>
        <v>3346.2477025397966</v>
      </c>
      <c r="U6" s="685">
        <f>I67</f>
        <v>32.185992373843924</v>
      </c>
      <c r="V6" s="961">
        <f>K67</f>
        <v>35.654342428219501</v>
      </c>
      <c r="W6" s="11"/>
      <c r="X6" s="11"/>
      <c r="Y6" s="11"/>
      <c r="Z6" s="11"/>
      <c r="AA6" s="11"/>
      <c r="AB6" s="11"/>
      <c r="AC6" s="11"/>
      <c r="AD6" s="11"/>
      <c r="AE6" s="963"/>
      <c r="AF6" s="479" t="s">
        <v>4752</v>
      </c>
      <c r="AG6" s="964">
        <f>C17</f>
        <v>7.3167074375139469E-4</v>
      </c>
      <c r="AH6" s="964">
        <f>SUM(C25,C41,C57)</f>
        <v>8.5563395159660356</v>
      </c>
      <c r="AI6" s="964">
        <f>SUM(C33,C49,C73)</f>
        <v>20891.533876805319</v>
      </c>
      <c r="AJ6" s="965">
        <f>SUM(C81,C89,C97)</f>
        <v>7170.4185520758465</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6149571.8083472457</v>
      </c>
      <c r="R7" s="964">
        <f>SUM(E75,E83,E91)</f>
        <v>36064.558960335045</v>
      </c>
      <c r="S7" s="964">
        <f>SUM(T7:V7)</f>
        <v>102.59752684792257</v>
      </c>
      <c r="T7" s="964">
        <f>G91</f>
        <v>102.32889800391771</v>
      </c>
      <c r="U7" s="964">
        <f>I91</f>
        <v>0.19955638937003858</v>
      </c>
      <c r="V7" s="965">
        <f>K91</f>
        <v>6.90724546348091E-2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5.97643017522929E-2</v>
      </c>
      <c r="AH9" s="685">
        <f>SUM(E23,E39,E55)</f>
        <v>6.9905151866510033E-6</v>
      </c>
      <c r="AI9" s="685">
        <f>SUM(E31,E47,E71)</f>
        <v>3.9521232624469615E-11</v>
      </c>
      <c r="AJ9" s="961">
        <f>SUM(E79,E87,E95)</f>
        <v>8.0523473475185743E-8</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102.81494347100679</v>
      </c>
      <c r="AH10" s="685">
        <f>SUM(E24,E40,E56)</f>
        <v>2834.8978660854555</v>
      </c>
      <c r="AI10" s="685">
        <f>SUM(E32,E48,E72)</f>
        <v>256891.27166037963</v>
      </c>
      <c r="AJ10" s="961">
        <f>SUM(E80,E88,E96)</f>
        <v>36064.448676319866</v>
      </c>
      <c r="AK10" s="11"/>
      <c r="AL10" s="11"/>
      <c r="AM10" s="11"/>
      <c r="AN10" s="11"/>
      <c r="AO10" s="11"/>
      <c r="AP10" s="11"/>
      <c r="AQ10" s="11"/>
      <c r="AR10" s="11"/>
      <c r="AS10" s="11"/>
    </row>
    <row r="11" spans="1:45" ht="12.75" customHeight="1" x14ac:dyDescent="0.3">
      <c r="A11" s="17"/>
      <c r="B11" s="452" t="s">
        <v>136</v>
      </c>
      <c r="C11" s="453">
        <f>SUM(C12,C15:C17)</f>
        <v>3723.9002415421965</v>
      </c>
      <c r="D11" s="446">
        <f t="shared" ref="D11:D17" si="0">C11/$C$103</f>
        <v>1.1634614593519881E-4</v>
      </c>
      <c r="E11" s="453">
        <f>SUM(E12,E15:E17)</f>
        <v>102.87479819882026</v>
      </c>
      <c r="F11" s="446">
        <f t="shared" ref="F11:F17" si="1">E11/$E$103</f>
        <v>3.4767372198106836E-4</v>
      </c>
      <c r="G11" s="445">
        <f>SUM(G12,G15:G17)</f>
        <v>0.4174015182055596</v>
      </c>
      <c r="H11" s="446">
        <f t="shared" ref="H11:H17" si="2">G11/$G$103</f>
        <v>9.5345794132983917E-5</v>
      </c>
      <c r="I11" s="445">
        <f>SUM(I12,I15:I17)</f>
        <v>9.3052833745445426E-4</v>
      </c>
      <c r="J11" s="446">
        <f t="shared" ref="J11:J17" si="3">I11/$I$103</f>
        <v>2.2519321415305215E-5</v>
      </c>
      <c r="K11" s="445">
        <f>SUM(K12,K15:K17)</f>
        <v>5.156110515283105E-4</v>
      </c>
      <c r="L11" s="461">
        <f t="shared" ref="L11:L17" si="4">K11/$K$103</f>
        <v>1.1369836261418563E-5</v>
      </c>
      <c r="M11" s="17"/>
      <c r="N11" s="156"/>
      <c r="O11" s="11"/>
      <c r="P11" s="467" t="s">
        <v>243</v>
      </c>
      <c r="Q11" s="685">
        <f>C100</f>
        <v>91.416130908950763</v>
      </c>
      <c r="R11" s="685">
        <f>E100</f>
        <v>5.9771372830474269E-2</v>
      </c>
      <c r="S11" s="685">
        <f>SUM(T11:V11)</f>
        <v>5.7523365644473317E-6</v>
      </c>
      <c r="T11" s="685">
        <f>G100</f>
        <v>5.7519017759117422E-6</v>
      </c>
      <c r="U11" s="685">
        <f>I100</f>
        <v>2.2160020641587756E-10</v>
      </c>
      <c r="V11" s="961">
        <f>K100</f>
        <v>2.1318832917385618E-10</v>
      </c>
      <c r="W11" s="11"/>
      <c r="X11" s="11"/>
      <c r="Y11" s="11"/>
      <c r="Z11" s="11"/>
      <c r="AA11" s="11"/>
      <c r="AB11" s="11"/>
      <c r="AC11" s="11"/>
      <c r="AD11" s="11"/>
      <c r="AE11" s="464"/>
      <c r="AF11" s="479" t="s">
        <v>4752</v>
      </c>
      <c r="AG11" s="964">
        <f>E17</f>
        <v>9.042606117793272E-5</v>
      </c>
      <c r="AH11" s="964">
        <f>SUM(E25,E41,E57)</f>
        <v>1.8396508204936417E-2</v>
      </c>
      <c r="AI11" s="964">
        <f>SUM(E33,E49,E73)</f>
        <v>1.0395836648921308</v>
      </c>
      <c r="AJ11" s="965">
        <f>SUM(E81,E89,E97)</f>
        <v>0.11028393465211841</v>
      </c>
      <c r="AK11" s="11"/>
      <c r="AL11" s="11"/>
      <c r="AM11" s="11"/>
      <c r="AN11" s="11"/>
      <c r="AO11" s="11"/>
      <c r="AP11" s="11"/>
      <c r="AQ11" s="11"/>
      <c r="AR11" s="11"/>
      <c r="AS11" s="11"/>
    </row>
    <row r="12" spans="1:45" ht="12.75" customHeight="1" x14ac:dyDescent="0.3">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31978916.706920318</v>
      </c>
      <c r="R12" s="685">
        <f>E101</f>
        <v>295893.43314625602</v>
      </c>
      <c r="S12" s="685">
        <f>SUM(T12:V12)</f>
        <v>4464.411914837021</v>
      </c>
      <c r="T12" s="685">
        <f>G101</f>
        <v>4377.7420119778772</v>
      </c>
      <c r="U12" s="685">
        <f>I101</f>
        <v>41.321113957436431</v>
      </c>
      <c r="V12" s="961">
        <f>K101</f>
        <v>45.34878890170684</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28070.509500067878</v>
      </c>
      <c r="R13" s="964">
        <f>E102</f>
        <v>1.1683545338103634</v>
      </c>
      <c r="S13" s="964">
        <f>SUM(T13:V13)</f>
        <v>2.3837029587872111E-2</v>
      </c>
      <c r="T13" s="964">
        <f>G102</f>
        <v>2.3378228716930179E-2</v>
      </c>
      <c r="U13" s="964">
        <f>I102</f>
        <v>2.171914245731106E-4</v>
      </c>
      <c r="V13" s="965">
        <f>K102</f>
        <v>2.4160944636882216E-4</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5.7516833705821809E-6</v>
      </c>
      <c r="AH14" s="685">
        <f t="shared" si="5"/>
        <v>6.4494407828688468E-10</v>
      </c>
      <c r="AI14" s="685">
        <f t="shared" si="5"/>
        <v>1.8204672573390672E-21</v>
      </c>
      <c r="AJ14" s="961">
        <f t="shared" si="5"/>
        <v>8.2497868624194694E-12</v>
      </c>
      <c r="AK14" s="11"/>
      <c r="AL14" s="11"/>
      <c r="AM14" s="11"/>
      <c r="AN14" s="11"/>
      <c r="AO14" s="11"/>
      <c r="AP14" s="11"/>
      <c r="AQ14" s="11"/>
      <c r="AR14" s="11"/>
      <c r="AS14" s="11"/>
    </row>
    <row r="15" spans="1:45" ht="12.75" customHeight="1" x14ac:dyDescent="0.3">
      <c r="A15" s="17"/>
      <c r="B15" s="159" t="s">
        <v>147</v>
      </c>
      <c r="C15" s="295">
        <f>(M.aRS+M.cwRS)*Molweight</f>
        <v>91.099896920522426</v>
      </c>
      <c r="D15" s="446">
        <f t="shared" si="0"/>
        <v>2.8462421693141831E-6</v>
      </c>
      <c r="E15" s="296">
        <f>(M.aCS+M.cwCS)*Molweight</f>
        <v>5.97643017522929E-2</v>
      </c>
      <c r="F15" s="446">
        <f t="shared" si="1"/>
        <v>2.0197830368193752E-7</v>
      </c>
      <c r="G15" s="296">
        <f>(M.aMS+M.cwMS)*Molweight</f>
        <v>5.7512486499657868E-6</v>
      </c>
      <c r="H15" s="446">
        <f t="shared" si="2"/>
        <v>1.313740716959222E-9</v>
      </c>
      <c r="I15" s="296">
        <f>(M.aAS+M.cwAS)*Molweight</f>
        <v>2.2158514544237285E-10</v>
      </c>
      <c r="J15" s="446">
        <f t="shared" si="3"/>
        <v>5.3624880728774002E-12</v>
      </c>
      <c r="K15" s="296">
        <f>(M.aTS+M.cwTS)*Molweight</f>
        <v>2.1313547095179778E-10</v>
      </c>
      <c r="L15" s="461">
        <f t="shared" si="4"/>
        <v>4.6998903515341295E-12</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0.41884023497461897</v>
      </c>
      <c r="AH15" s="685">
        <f t="shared" si="5"/>
        <v>947.32644987409526</v>
      </c>
      <c r="AI15" s="685">
        <f t="shared" si="5"/>
        <v>3414.0702507578212</v>
      </c>
      <c r="AJ15" s="961">
        <f t="shared" si="5"/>
        <v>102.59637397012979</v>
      </c>
      <c r="AK15" s="11"/>
      <c r="AL15" s="11"/>
      <c r="AM15" s="11"/>
      <c r="AN15" s="11"/>
      <c r="AO15" s="11"/>
      <c r="AP15" s="11"/>
      <c r="AQ15" s="11"/>
      <c r="AR15" s="11"/>
      <c r="AS15" s="11"/>
    </row>
    <row r="16" spans="1:45" ht="12.75" customHeight="1" x14ac:dyDescent="0.3">
      <c r="A16" s="17"/>
      <c r="B16" s="159" t="s">
        <v>150</v>
      </c>
      <c r="C16" s="295">
        <f>(M.aRA+M.cwRA)*Molweight</f>
        <v>3632.7996129509302</v>
      </c>
      <c r="D16" s="446">
        <f t="shared" si="0"/>
        <v>1.134998809062306E-4</v>
      </c>
      <c r="E16" s="296">
        <f>(M.aCA+M.cwCA)*Molweight</f>
        <v>102.81494347100679</v>
      </c>
      <c r="F16" s="446">
        <f t="shared" si="1"/>
        <v>3.4747143807518054E-4</v>
      </c>
      <c r="G16" s="296">
        <f>(M.aMA+M.cwMA)*Molweight</f>
        <v>0.4173941259261495</v>
      </c>
      <c r="H16" s="446">
        <f t="shared" si="2"/>
        <v>9.5344105536464578E-5</v>
      </c>
      <c r="I16" s="296">
        <f>(M.aAA+M.cwAA)*Molweight</f>
        <v>9.3050597734517005E-4</v>
      </c>
      <c r="J16" s="446">
        <f t="shared" si="3"/>
        <v>2.2518780287789172E-5</v>
      </c>
      <c r="K16" s="296">
        <f>(M.aTA+M.cwTA)*Molweight</f>
        <v>5.1560307112428106E-4</v>
      </c>
      <c r="L16" s="461">
        <f t="shared" si="4"/>
        <v>1.1369660284028541E-5</v>
      </c>
      <c r="M16" s="17"/>
      <c r="N16" s="156"/>
      <c r="O16" s="11"/>
      <c r="P16" s="472" t="s">
        <v>243</v>
      </c>
      <c r="Q16" s="968">
        <f t="shared" ref="Q16:V18" si="6">Q11</f>
        <v>91.416130908950763</v>
      </c>
      <c r="R16" s="968">
        <f t="shared" si="6"/>
        <v>5.9771372830474269E-2</v>
      </c>
      <c r="S16" s="968">
        <f t="shared" si="6"/>
        <v>5.7523365644473317E-6</v>
      </c>
      <c r="T16" s="968">
        <f t="shared" si="6"/>
        <v>5.7519017759117422E-6</v>
      </c>
      <c r="U16" s="968">
        <f t="shared" si="6"/>
        <v>2.2160020641587756E-10</v>
      </c>
      <c r="V16" s="969">
        <f t="shared" si="6"/>
        <v>2.1318832917385618E-10</v>
      </c>
      <c r="W16" s="11"/>
      <c r="X16" s="11"/>
      <c r="Y16" s="11"/>
      <c r="Z16" s="11"/>
      <c r="AA16" s="11"/>
      <c r="AB16" s="11"/>
      <c r="AC16" s="11"/>
      <c r="AD16" s="11"/>
      <c r="AE16" s="464"/>
      <c r="AF16" s="479" t="s">
        <v>4752</v>
      </c>
      <c r="AG16" s="964">
        <f t="shared" si="5"/>
        <v>1.6709365528065683E-6</v>
      </c>
      <c r="AH16" s="964">
        <f t="shared" si="5"/>
        <v>4.8958968276073588E-3</v>
      </c>
      <c r="AI16" s="964">
        <f t="shared" si="5"/>
        <v>1.7786584039181267E-2</v>
      </c>
      <c r="AJ16" s="965">
        <f t="shared" si="5"/>
        <v>1.1528777845306792E-3</v>
      </c>
      <c r="AK16" s="11"/>
      <c r="AL16" s="11"/>
      <c r="AM16" s="11"/>
      <c r="AN16" s="11"/>
      <c r="AO16" s="11"/>
      <c r="AP16" s="11"/>
      <c r="AQ16" s="11"/>
      <c r="AR16" s="11"/>
      <c r="AS16" s="11"/>
    </row>
    <row r="17" spans="1:45" ht="12.75" customHeight="1" x14ac:dyDescent="0.3">
      <c r="A17" s="17"/>
      <c r="B17" s="159" t="s">
        <v>152</v>
      </c>
      <c r="C17" s="295">
        <f>(M.aRP+M.cwRP)*Molweight</f>
        <v>7.3167074375139469E-4</v>
      </c>
      <c r="D17" s="446">
        <f t="shared" si="0"/>
        <v>2.2859654020635403E-11</v>
      </c>
      <c r="E17" s="296">
        <f>(M.aCP+M.cwCP)*Molweight</f>
        <v>9.042606117793272E-5</v>
      </c>
      <c r="F17" s="446">
        <f t="shared" si="1"/>
        <v>3.056022058294564E-10</v>
      </c>
      <c r="G17" s="296">
        <f>(M.aMP+M.cwMP)*Molweight</f>
        <v>1.6410307601092863E-6</v>
      </c>
      <c r="H17" s="446">
        <f t="shared" si="2"/>
        <v>3.7485580237448713E-10</v>
      </c>
      <c r="I17" s="296">
        <f>(M.aAP+M.cwAP)*Molweight</f>
        <v>2.2138524138842925E-8</v>
      </c>
      <c r="J17" s="446">
        <f t="shared" si="3"/>
        <v>5.3576502796992868E-10</v>
      </c>
      <c r="K17" s="296">
        <f>(M.aTP+M.cwTP)*Molweight</f>
        <v>7.7672685584391346E-9</v>
      </c>
      <c r="L17" s="461">
        <f t="shared" si="4"/>
        <v>1.7127749966986232E-10</v>
      </c>
      <c r="M17" s="17"/>
      <c r="N17" s="156"/>
      <c r="O17" s="11"/>
      <c r="P17" s="472" t="s">
        <v>244</v>
      </c>
      <c r="Q17" s="968">
        <f t="shared" si="6"/>
        <v>31978916.706920318</v>
      </c>
      <c r="R17" s="968">
        <f t="shared" si="6"/>
        <v>295893.43314625602</v>
      </c>
      <c r="S17" s="968">
        <f t="shared" si="6"/>
        <v>4464.411914837021</v>
      </c>
      <c r="T17" s="968">
        <f t="shared" si="6"/>
        <v>4377.7420119778772</v>
      </c>
      <c r="U17" s="968">
        <f t="shared" si="6"/>
        <v>41.321113957436431</v>
      </c>
      <c r="V17" s="969">
        <f t="shared" si="6"/>
        <v>45.34878890170684</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28070.509500067878</v>
      </c>
      <c r="R18" s="970">
        <f t="shared" si="6"/>
        <v>1.1683545338103634</v>
      </c>
      <c r="S18" s="970">
        <f t="shared" si="6"/>
        <v>2.3837029587872111E-2</v>
      </c>
      <c r="T18" s="970">
        <f t="shared" si="6"/>
        <v>2.3378228716930179E-2</v>
      </c>
      <c r="U18" s="970">
        <f t="shared" si="6"/>
        <v>2.171914245731106E-4</v>
      </c>
      <c r="V18" s="971">
        <f t="shared" si="6"/>
        <v>2.4160944636882216E-4</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3">
      <c r="A19" s="17"/>
      <c r="B19" s="104" t="s">
        <v>157</v>
      </c>
      <c r="C19" s="295">
        <f>SUM(C20,C23:C25)</f>
        <v>9170.526144242891</v>
      </c>
      <c r="D19" s="446">
        <f t="shared" ref="D19:D25" si="7">C19/$C$103</f>
        <v>2.8651556268295095E-4</v>
      </c>
      <c r="E19" s="295">
        <f>SUM(E20,E23:E25)</f>
        <v>63.127512020667737</v>
      </c>
      <c r="F19" s="446">
        <f t="shared" ref="F19:F25" si="8">E19/$E$103</f>
        <v>2.1334454548540611E-4</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5.7512486499657868E-6</v>
      </c>
      <c r="AH19" s="685">
        <f>SUM(G55,G63)</f>
        <v>6.4487657429702913E-10</v>
      </c>
      <c r="AI19" s="335">
        <f>G71</f>
        <v>1.8202772615506386E-21</v>
      </c>
      <c r="AJ19" s="961">
        <f>G95</f>
        <v>8.2493716567121488E-12</v>
      </c>
      <c r="AK19" s="11"/>
      <c r="AL19" s="11"/>
      <c r="AM19" s="11"/>
      <c r="AN19" s="11"/>
      <c r="AO19" s="11"/>
      <c r="AP19" s="11"/>
      <c r="AQ19" s="11"/>
      <c r="AR19" s="11"/>
      <c r="AS19" s="11"/>
    </row>
    <row r="20" spans="1:45" ht="12.75" customHeight="1" x14ac:dyDescent="0.3">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0.4173941259261495</v>
      </c>
      <c r="AH20" s="685">
        <f>SUM(G56,G64)</f>
        <v>928.76659370426182</v>
      </c>
      <c r="AI20" s="335">
        <f>G72</f>
        <v>3346.2302685723334</v>
      </c>
      <c r="AJ20" s="961">
        <f>G96</f>
        <v>102.32775557535588</v>
      </c>
      <c r="AK20" s="11"/>
      <c r="AL20" s="11"/>
      <c r="AM20" s="11"/>
      <c r="AN20" s="11"/>
      <c r="AO20" s="11"/>
      <c r="AP20" s="11"/>
      <c r="AQ20" s="11"/>
      <c r="AR20" s="11"/>
      <c r="AS20" s="11"/>
    </row>
    <row r="21" spans="1:45" ht="12.75" customHeight="1" x14ac:dyDescent="0.3">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32007078.632551294</v>
      </c>
      <c r="R21" s="964">
        <f>$E$103</f>
        <v>295894.66127216263</v>
      </c>
      <c r="S21" s="964">
        <f>SUM(T21:V21)</f>
        <v>4464.435757618945</v>
      </c>
      <c r="T21" s="964">
        <f>$G$103</f>
        <v>4377.7653959584959</v>
      </c>
      <c r="U21" s="964">
        <f>$I$103</f>
        <v>41.321331149082603</v>
      </c>
      <c r="V21" s="965">
        <f>$K$103</f>
        <v>45.349030511366401</v>
      </c>
      <c r="W21" s="410">
        <v>2</v>
      </c>
      <c r="X21" s="410" t="s">
        <v>4755</v>
      </c>
      <c r="Y21" s="11"/>
      <c r="Z21" s="11"/>
      <c r="AA21" s="11"/>
      <c r="AB21" s="11"/>
      <c r="AC21" s="11"/>
      <c r="AD21" s="11"/>
      <c r="AE21" s="467"/>
      <c r="AF21" s="410" t="s">
        <v>4752</v>
      </c>
      <c r="AG21" s="685">
        <f>G17</f>
        <v>1.6410307601092863E-6</v>
      </c>
      <c r="AH21" s="685">
        <f>SUM(G57,G65)</f>
        <v>4.8001916693139407E-3</v>
      </c>
      <c r="AI21" s="335">
        <f>G73</f>
        <v>1.743396746326438E-2</v>
      </c>
      <c r="AJ21" s="961">
        <f>G97</f>
        <v>1.1424285535917504E-3</v>
      </c>
      <c r="AK21" s="410">
        <v>6</v>
      </c>
      <c r="AL21" s="410" t="s">
        <v>4756</v>
      </c>
      <c r="AM21" s="11"/>
      <c r="AN21" s="11"/>
      <c r="AO21" s="11"/>
      <c r="AP21" s="11"/>
      <c r="AQ21" s="11"/>
      <c r="AR21" s="11"/>
      <c r="AS21" s="11"/>
    </row>
    <row r="22" spans="1:45" ht="12.75" customHeight="1" x14ac:dyDescent="0.3">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6.3430408690440723E-5</v>
      </c>
      <c r="D23" s="446">
        <f t="shared" si="7"/>
        <v>1.9817618914439698E-12</v>
      </c>
      <c r="E23" s="295">
        <f>M.w0CS*Molweight</f>
        <v>2.0236538028723883E-8</v>
      </c>
      <c r="F23" s="446">
        <f t="shared" si="8"/>
        <v>6.8391021121230716E-14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3">
      <c r="A24" s="17"/>
      <c r="B24" s="159" t="s">
        <v>150</v>
      </c>
      <c r="C24" s="295">
        <f>M.w0RA*Molweight</f>
        <v>9170.5242107215236</v>
      </c>
      <c r="D24" s="446">
        <f t="shared" si="7"/>
        <v>2.8651550227377118E-4</v>
      </c>
      <c r="E24" s="295">
        <f>M.w0CA*Molweight</f>
        <v>63.127510897522974</v>
      </c>
      <c r="F24" s="446">
        <f t="shared" si="8"/>
        <v>2.1334454168964732E-4</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2.2158514544237285E-10</v>
      </c>
      <c r="AH24" s="685">
        <f>SUM(I55,I63)</f>
        <v>1.4933069667873061E-14</v>
      </c>
      <c r="AI24" s="685">
        <f>I71</f>
        <v>4.2348466107881343E-26</v>
      </c>
      <c r="AJ24" s="961">
        <f>I95</f>
        <v>1.2790383676211861E-16</v>
      </c>
      <c r="AK24" s="11"/>
      <c r="AL24" s="11"/>
      <c r="AM24" s="11"/>
      <c r="AN24" s="11"/>
      <c r="AO24" s="11"/>
      <c r="AP24" s="11"/>
      <c r="AQ24" s="11"/>
      <c r="AR24" s="11"/>
      <c r="AS24"/>
    </row>
    <row r="25" spans="1:45" ht="12.75" customHeight="1" x14ac:dyDescent="0.3">
      <c r="A25" s="17"/>
      <c r="B25" s="159" t="s">
        <v>152</v>
      </c>
      <c r="C25" s="295">
        <f>M.w0RP*Molweight</f>
        <v>1.8700909585222781E-3</v>
      </c>
      <c r="D25" s="446">
        <f t="shared" si="7"/>
        <v>5.8427417884379803E-11</v>
      </c>
      <c r="E25" s="295">
        <f>M.w0CP*Molweight</f>
        <v>1.1029082248472822E-6</v>
      </c>
      <c r="F25" s="446">
        <f t="shared" si="8"/>
        <v>3.7273677737390201E-12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9.3050597734517005E-4</v>
      </c>
      <c r="AH25" s="685">
        <f>SUM(I56,I64)</f>
        <v>8.9348059355566605</v>
      </c>
      <c r="AI25" s="685">
        <f>I72</f>
        <v>32.185825614980672</v>
      </c>
      <c r="AJ25" s="961">
        <f>I96</f>
        <v>0.19955190092175204</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2.2138524138842925E-8</v>
      </c>
      <c r="AH26" s="685">
        <f>SUM(I57,I65)</f>
        <v>4.5921974511442845E-5</v>
      </c>
      <c r="AI26" s="685">
        <f>I73</f>
        <v>1.6675886325112394E-4</v>
      </c>
      <c r="AJ26" s="961">
        <f>I97</f>
        <v>4.4884482864049759E-6</v>
      </c>
      <c r="AK26" s="11"/>
      <c r="AL26" s="11"/>
      <c r="AM26" s="11"/>
      <c r="AN26" s="11"/>
      <c r="AO26" s="11"/>
      <c r="AP26" s="11"/>
      <c r="AQ26" s="11"/>
      <c r="AR26" s="11"/>
      <c r="AS26" s="11"/>
    </row>
    <row r="27" spans="1:45" ht="12.75" customHeight="1" x14ac:dyDescent="0.3">
      <c r="A27" s="17"/>
      <c r="B27" s="104" t="s">
        <v>174</v>
      </c>
      <c r="C27" s="295">
        <f>SUM(C28,C31:C33)</f>
        <v>1258434.9258406323</v>
      </c>
      <c r="D27" s="446">
        <f t="shared" ref="D27:D33" si="9">C27/$C$103</f>
        <v>3.9317394139207699E-2</v>
      </c>
      <c r="E27" s="295">
        <f>SUM(E28,E31:E33)</f>
        <v>8668.86190470361</v>
      </c>
      <c r="F27" s="446">
        <f t="shared" ref="F27:F33" si="10">E27/$E$103</f>
        <v>2.9297121710249542E-2</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3">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2.1313547095179778E-10</v>
      </c>
      <c r="AH29" s="335">
        <f>SUM(K55,K63)</f>
        <v>5.2570920187685397E-14</v>
      </c>
      <c r="AI29" s="335">
        <f>K71</f>
        <v>1.4764732232097703E-25</v>
      </c>
      <c r="AJ29" s="468">
        <f>K95</f>
        <v>2.8730187055872662E-16</v>
      </c>
      <c r="AK29" s="11"/>
      <c r="AL29" s="11"/>
      <c r="AM29" s="11"/>
      <c r="AN29" s="11"/>
      <c r="AO29" s="11"/>
      <c r="AP29" s="11"/>
      <c r="AQ29" s="11"/>
      <c r="AR29" s="11"/>
      <c r="AS29" s="11"/>
    </row>
    <row r="30" spans="1:45" ht="12.75" customHeight="1" x14ac:dyDescent="0.3">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5.1560307112428106E-4</v>
      </c>
      <c r="AH30" s="335">
        <f>SUM(K56,K64)</f>
        <v>9.6250502342767241</v>
      </c>
      <c r="AI30" s="335">
        <f>K72</f>
        <v>35.654156570506835</v>
      </c>
      <c r="AJ30" s="468">
        <f>K96</f>
        <v>6.9066493852156283E-2</v>
      </c>
      <c r="AK30" s="11"/>
      <c r="AL30" s="11"/>
      <c r="AM30" s="11"/>
      <c r="AN30" s="11"/>
      <c r="AO30" s="11"/>
      <c r="AP30" s="11"/>
      <c r="AQ30" s="11"/>
      <c r="AR30" s="11"/>
      <c r="AS30" s="11"/>
    </row>
    <row r="31" spans="1:45" ht="12.75" customHeight="1" x14ac:dyDescent="0.3">
      <c r="A31" s="17"/>
      <c r="B31" s="159" t="s">
        <v>147</v>
      </c>
      <c r="C31" s="295">
        <f>M.sd0RS*Molweight</f>
        <v>4.4884057413724271E-10</v>
      </c>
      <c r="D31" s="446">
        <f t="shared" si="9"/>
        <v>1.4023165915578764E-17</v>
      </c>
      <c r="E31" s="295">
        <f>M.sd0CS*Molweight</f>
        <v>1.4319597705922222E-13</v>
      </c>
      <c r="F31" s="446">
        <f t="shared" si="10"/>
        <v>4.8394241532972838E-19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7.7672685584391346E-9</v>
      </c>
      <c r="AH31" s="469">
        <f>SUM(K57,K65)</f>
        <v>4.9783183781975377E-5</v>
      </c>
      <c r="AI31" s="469">
        <f>K73</f>
        <v>1.8585771266576442E-4</v>
      </c>
      <c r="AJ31" s="470">
        <f>K97</f>
        <v>5.9607826525239305E-6</v>
      </c>
      <c r="AK31" s="11"/>
      <c r="AL31" s="11"/>
      <c r="AM31" s="11"/>
      <c r="AN31" s="11"/>
      <c r="AO31" s="11"/>
      <c r="AP31" s="11"/>
      <c r="AQ31" s="11"/>
      <c r="AR31" s="11"/>
      <c r="AS31" s="11"/>
    </row>
    <row r="32" spans="1:45" ht="12.75" customHeight="1" x14ac:dyDescent="0.3">
      <c r="A32" s="17"/>
      <c r="B32" s="159" t="s">
        <v>150</v>
      </c>
      <c r="C32" s="295">
        <f>M.sd0RA*Molweight</f>
        <v>1258434.6671158951</v>
      </c>
      <c r="D32" s="446">
        <f t="shared" si="9"/>
        <v>3.931738605584776E-2</v>
      </c>
      <c r="E32" s="295">
        <f>M.sd0CA*Molweight</f>
        <v>8668.8617520214684</v>
      </c>
      <c r="F32" s="446">
        <f t="shared" si="10"/>
        <v>2.9297121194247863E-2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0.2587247367597062</v>
      </c>
      <c r="D33" s="446">
        <f t="shared" si="9"/>
        <v>8.0833599257816175E-9</v>
      </c>
      <c r="E33" s="295">
        <f>M.sd0CP*Molweight</f>
        <v>1.5268214151026299E-4</v>
      </c>
      <c r="F33" s="446">
        <f t="shared" si="10"/>
        <v>5.1600167726522996E-10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10104.09104135861</v>
      </c>
      <c r="D35" s="446">
        <f t="shared" ref="D35:D41" si="11">C35/$C$103</f>
        <v>3.1568301366569328E-4</v>
      </c>
      <c r="E35" s="295">
        <f>SUM(E36,E39:E41)</f>
        <v>39.54801088957965</v>
      </c>
      <c r="F35" s="446">
        <f t="shared" ref="F35:F41" si="12">E35/$E$103</f>
        <v>1.3365570949995466E-4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91.099896920522426</v>
      </c>
      <c r="AH35" s="968">
        <f t="shared" si="13"/>
        <v>0.30493376360796359</v>
      </c>
      <c r="AI35" s="968">
        <f t="shared" si="13"/>
        <v>7.1895628755484556E-5</v>
      </c>
      <c r="AJ35" s="969">
        <f t="shared" si="13"/>
        <v>1.1228329191624505E-2</v>
      </c>
      <c r="AK35" s="11"/>
      <c r="AL35" s="11"/>
      <c r="AM35" s="11"/>
      <c r="AN35" s="11"/>
      <c r="AO35" s="11"/>
      <c r="AP35" s="11"/>
      <c r="AQ35" s="11"/>
      <c r="AR35" s="11"/>
      <c r="AS35" s="11"/>
    </row>
    <row r="36" spans="1:45" ht="12.75" customHeight="1" x14ac:dyDescent="0.3">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3632.7996129509302</v>
      </c>
      <c r="AH36" s="968">
        <f t="shared" si="13"/>
        <v>19328.94147073866</v>
      </c>
      <c r="AI36" s="968">
        <f t="shared" si="13"/>
        <v>25813553.58726979</v>
      </c>
      <c r="AJ36" s="969">
        <f t="shared" si="13"/>
        <v>6142401.3785668416</v>
      </c>
      <c r="AK36" s="11"/>
      <c r="AL36" s="11"/>
      <c r="AM36" s="11"/>
      <c r="AN36" s="11"/>
      <c r="AO36" s="11"/>
      <c r="AP36" s="11"/>
      <c r="AQ36" s="11"/>
      <c r="AR36" s="11"/>
      <c r="AS36" s="11"/>
    </row>
    <row r="37" spans="1:45" ht="12.75" customHeight="1" x14ac:dyDescent="0.3">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7.3167074375139469E-4</v>
      </c>
      <c r="AH37" s="970">
        <f t="shared" si="13"/>
        <v>8.5563395159660356</v>
      </c>
      <c r="AI37" s="970">
        <f t="shared" si="13"/>
        <v>20891.533876805319</v>
      </c>
      <c r="AJ37" s="971">
        <f t="shared" si="13"/>
        <v>7170.4185520758465</v>
      </c>
      <c r="AK37" s="11"/>
      <c r="AL37" s="11"/>
      <c r="AM37" s="11"/>
      <c r="AN37" s="11"/>
      <c r="AO37" s="11"/>
      <c r="AP37" s="11"/>
      <c r="AQ37" s="11"/>
      <c r="AR37" s="11"/>
      <c r="AS37" s="11"/>
    </row>
    <row r="38" spans="1:45" ht="12.75" customHeight="1" x14ac:dyDescent="0.3">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0.30478137449224657</v>
      </c>
      <c r="D39" s="446">
        <f t="shared" si="11"/>
        <v>9.5223115483673986E-9</v>
      </c>
      <c r="E39" s="295">
        <f>M.w1CS*Molweight</f>
        <v>6.3343786399038379E-8</v>
      </c>
      <c r="F39" s="446">
        <f t="shared" si="12"/>
        <v>2.1407546228343417E-13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5.97643017522929E-2</v>
      </c>
      <c r="AH39" s="973">
        <f t="shared" si="14"/>
        <v>6.9905151866510033E-6</v>
      </c>
      <c r="AI39" s="973">
        <f t="shared" si="14"/>
        <v>3.9521232624469615E-11</v>
      </c>
      <c r="AJ39" s="974">
        <f t="shared" si="14"/>
        <v>8.0523473475185743E-8</v>
      </c>
      <c r="AK39" s="11"/>
      <c r="AL39" s="11"/>
      <c r="AM39" s="11"/>
      <c r="AN39" s="11"/>
      <c r="AO39" s="11"/>
      <c r="AP39" s="11"/>
      <c r="AQ39" s="11"/>
      <c r="AR39" s="11"/>
      <c r="AS39" s="11"/>
    </row>
    <row r="40" spans="1:45" ht="12.75" customHeight="1" x14ac:dyDescent="0.3">
      <c r="A40" s="17"/>
      <c r="B40" s="159" t="s">
        <v>150</v>
      </c>
      <c r="C40" s="295">
        <f>M.w1RA*Molweight</f>
        <v>10095.251287146059</v>
      </c>
      <c r="D40" s="446">
        <f t="shared" si="11"/>
        <v>3.1540683243984531E-4</v>
      </c>
      <c r="E40" s="295">
        <f>M.w1CA*Molweight</f>
        <v>39.548008412490354</v>
      </c>
      <c r="F40" s="446">
        <f t="shared" si="12"/>
        <v>1.3365570112843053E-4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102.81494347100679</v>
      </c>
      <c r="AH40" s="968">
        <f t="shared" si="14"/>
        <v>2834.8978660854555</v>
      </c>
      <c r="AI40" s="968">
        <f t="shared" si="14"/>
        <v>256891.27166037963</v>
      </c>
      <c r="AJ40" s="969">
        <f t="shared" si="14"/>
        <v>36064.448676319866</v>
      </c>
      <c r="AK40" s="11"/>
      <c r="AL40" s="11"/>
      <c r="AM40" s="11"/>
      <c r="AN40" s="11"/>
      <c r="AO40" s="11"/>
      <c r="AP40" s="11"/>
      <c r="AQ40" s="11"/>
      <c r="AR40" s="11"/>
      <c r="AS40" s="11"/>
    </row>
    <row r="41" spans="1:45" ht="12.75" customHeight="1" x14ac:dyDescent="0.3">
      <c r="A41" s="17"/>
      <c r="B41" s="159" t="s">
        <v>152</v>
      </c>
      <c r="C41" s="295">
        <f>M.w1RP*Molweight</f>
        <v>8.5349728380590211</v>
      </c>
      <c r="D41" s="446">
        <f t="shared" si="11"/>
        <v>2.6665891429963024E-7</v>
      </c>
      <c r="E41" s="295">
        <f>M.w1CP*Molweight</f>
        <v>2.4137455146516529E-6</v>
      </c>
      <c r="F41" s="446">
        <f t="shared" si="12"/>
        <v>8.1574486821561824E-12</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9.042606117793272E-5</v>
      </c>
      <c r="AH41" s="970">
        <f t="shared" si="14"/>
        <v>1.8396508204936417E-2</v>
      </c>
      <c r="AI41" s="970">
        <f t="shared" si="14"/>
        <v>1.0395836648921308</v>
      </c>
      <c r="AJ41" s="971">
        <f t="shared" si="14"/>
        <v>0.11028393465211841</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24505564.859608669</v>
      </c>
      <c r="D43" s="446">
        <f t="shared" ref="D43:D49" si="15">C43/$C$103</f>
        <v>0.76562953904472986</v>
      </c>
      <c r="E43" s="295">
        <f>SUM(E44,E47:E49)</f>
        <v>95915.583348499931</v>
      </c>
      <c r="F43" s="446">
        <f t="shared" ref="F43:F49" si="16">E43/$E$103</f>
        <v>0.32415449111559735</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5.7516833705821809E-6</v>
      </c>
      <c r="AH43" s="973">
        <f t="shared" si="17"/>
        <v>6.4494407828688468E-10</v>
      </c>
      <c r="AI43" s="973">
        <f t="shared" si="17"/>
        <v>1.8204672573390672E-21</v>
      </c>
      <c r="AJ43" s="974">
        <f t="shared" si="17"/>
        <v>8.2497868624194694E-12</v>
      </c>
      <c r="AK43" s="685"/>
      <c r="AL43"/>
      <c r="AM43" s="11"/>
      <c r="AN43" s="11"/>
      <c r="AO43" s="11"/>
      <c r="AP43" s="11"/>
      <c r="AQ43" s="11"/>
      <c r="AR43" s="410" t="s">
        <v>4762</v>
      </c>
      <c r="AS43" s="410" t="s">
        <v>4764</v>
      </c>
    </row>
    <row r="44" spans="1:45" ht="12.75" customHeight="1" x14ac:dyDescent="0.3">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0.41884023497461897</v>
      </c>
      <c r="AH44" s="968">
        <f t="shared" si="17"/>
        <v>947.32644987409526</v>
      </c>
      <c r="AI44" s="968">
        <f t="shared" si="17"/>
        <v>3414.0702507578212</v>
      </c>
      <c r="AJ44" s="969">
        <f t="shared" si="17"/>
        <v>102.59637397012979</v>
      </c>
      <c r="AK44" s="11"/>
      <c r="AL44"/>
      <c r="AM44" s="11"/>
      <c r="AN44" s="11"/>
      <c r="AO44" s="11"/>
      <c r="AP44" s="11"/>
      <c r="AQ44" s="11"/>
      <c r="AR44" s="11"/>
      <c r="AS44"/>
    </row>
    <row r="45" spans="1:45" ht="12.75" customHeight="1" x14ac:dyDescent="0.3">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1.6709365528065683E-6</v>
      </c>
      <c r="AH45" s="970">
        <f t="shared" si="17"/>
        <v>4.8958968276073588E-3</v>
      </c>
      <c r="AI45" s="970">
        <f t="shared" si="17"/>
        <v>1.7786584039181267E-2</v>
      </c>
      <c r="AJ45" s="971">
        <f t="shared" si="17"/>
        <v>1.1528777845306792E-3</v>
      </c>
      <c r="AK45" s="11"/>
      <c r="AL45" s="11"/>
      <c r="AM45" s="11"/>
      <c r="AN45" s="11"/>
      <c r="AO45" s="11"/>
      <c r="AP45" s="11"/>
      <c r="AQ45" s="11"/>
      <c r="AR45" s="11"/>
      <c r="AS45"/>
    </row>
    <row r="46" spans="1:45" ht="12.75" customHeight="1" x14ac:dyDescent="0.3">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7.1888885098672373E-5</v>
      </c>
      <c r="D47" s="446">
        <f t="shared" si="15"/>
        <v>2.2460308209934901E-12</v>
      </c>
      <c r="E47" s="295">
        <f>M.sd1CS*Molweight</f>
        <v>1.4940920158725639E-11</v>
      </c>
      <c r="F47" s="446">
        <f t="shared" si="16"/>
        <v>5.0494051141338588E-17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24484695.495674342</v>
      </c>
      <c r="D48" s="446">
        <f t="shared" si="15"/>
        <v>0.76497751565409455</v>
      </c>
      <c r="E48" s="295">
        <f>M.sd1CA*Molweight</f>
        <v>95915.577446783645</v>
      </c>
      <c r="F48" s="446">
        <f t="shared" si="16"/>
        <v>0.32415447117026863</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20869.363862437491</v>
      </c>
      <c r="D49" s="446">
        <f t="shared" si="15"/>
        <v>6.5202338838925733E-4</v>
      </c>
      <c r="E49" s="295">
        <f>M.sd1CP*Molweight</f>
        <v>5.9017162687225273E-3</v>
      </c>
      <c r="F49" s="446">
        <f t="shared" si="16"/>
        <v>1.994532866307498E-8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63.185558416734722</v>
      </c>
      <c r="D51" s="446">
        <f t="shared" ref="D51:D57" si="18">C51/$C$103</f>
        <v>1.974112012599451E-6</v>
      </c>
      <c r="E51" s="295">
        <f>SUM(E52,E55:E57)</f>
        <v>2732.2407466739278</v>
      </c>
      <c r="F51" s="446">
        <f t="shared" ref="F51:F57" si="19">E51/$E$103</f>
        <v>9.233829143543839E-3</v>
      </c>
      <c r="G51" s="296">
        <f>SUM(G52,G55:G57)</f>
        <v>28.349635335986907</v>
      </c>
      <c r="H51" s="446">
        <f t="shared" ref="H51:H57" si="20">G51/$G$103</f>
        <v>6.4758233417804827E-3</v>
      </c>
      <c r="I51" s="296">
        <f>SUM(I52,I55:I57)</f>
        <v>0.27411588184804753</v>
      </c>
      <c r="J51" s="446">
        <f t="shared" ref="J51:J57" si="21">I51/$I$103</f>
        <v>6.6337621326638535E-3</v>
      </c>
      <c r="K51" s="296">
        <f>SUM(K52,K55:K57)</f>
        <v>3.1306746611354269E-2</v>
      </c>
      <c r="L51" s="461">
        <f t="shared" ref="L51:L57" si="22">K51/$K$103</f>
        <v>6.9035095697376515E-4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8.8958707026560383E-5</v>
      </c>
      <c r="D55" s="446">
        <f t="shared" si="18"/>
        <v>2.7793447833158104E-12</v>
      </c>
      <c r="E55" s="295">
        <f>M.w2CS*Molweight</f>
        <v>6.906934862223241E-6</v>
      </c>
      <c r="F55" s="446">
        <f t="shared" si="19"/>
        <v>2.3342546406642574E-11</v>
      </c>
      <c r="G55" s="296">
        <f>M.w2MS*Molweight</f>
        <v>6.4486885701797786E-10</v>
      </c>
      <c r="H55" s="446">
        <f t="shared" si="20"/>
        <v>1.4730548549113976E-13</v>
      </c>
      <c r="I55" s="296">
        <f>M.w2AS*Molweight</f>
        <v>1.4932890130245359E-14</v>
      </c>
      <c r="J55" s="446">
        <f t="shared" si="21"/>
        <v>3.6138453711399595E-16</v>
      </c>
      <c r="K55" s="296">
        <f>M.w2TS*Molweight</f>
        <v>5.2570294211492051E-14</v>
      </c>
      <c r="L55" s="461">
        <f t="shared" si="22"/>
        <v>1.1592374438592617E-15</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63.165972871079205</v>
      </c>
      <c r="D56" s="446">
        <f t="shared" si="18"/>
        <v>1.9735000996573059E-6</v>
      </c>
      <c r="E56" s="295">
        <f>M.w2CA*Molweight</f>
        <v>2732.222346775442</v>
      </c>
      <c r="F56" s="446">
        <f t="shared" si="19"/>
        <v>9.2337669595949738E-3</v>
      </c>
      <c r="G56" s="296">
        <f>M.w2MA*Molweight</f>
        <v>28.349489052647368</v>
      </c>
      <c r="H56" s="446">
        <f t="shared" si="20"/>
        <v>6.4757899267099371E-3</v>
      </c>
      <c r="I56" s="296">
        <f>M.w2AA*Molweight</f>
        <v>0.27411447530421246</v>
      </c>
      <c r="J56" s="446">
        <f t="shared" si="21"/>
        <v>6.6337280934933825E-3</v>
      </c>
      <c r="K56" s="296">
        <f>M.w2TA*Molweight</f>
        <v>3.1306576059963134E-2</v>
      </c>
      <c r="L56" s="461">
        <f t="shared" si="22"/>
        <v>6.9034719611296594E-4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1.9496586948490931E-2</v>
      </c>
      <c r="D57" s="446">
        <f t="shared" si="18"/>
        <v>6.0913359736189247E-10</v>
      </c>
      <c r="E57" s="295">
        <f>M.w2CP*Molweight</f>
        <v>1.8392991551196919E-2</v>
      </c>
      <c r="F57" s="446">
        <f t="shared" si="19"/>
        <v>6.2160606318878877E-8</v>
      </c>
      <c r="G57" s="296">
        <f>M.w2MP*Molweight</f>
        <v>1.4628269467292015E-4</v>
      </c>
      <c r="H57" s="446">
        <f t="shared" si="20"/>
        <v>3.3414923240968258E-8</v>
      </c>
      <c r="I57" s="296">
        <f>M.w2AP*Molweight</f>
        <v>1.4065438201415821E-6</v>
      </c>
      <c r="J57" s="446">
        <f t="shared" si="21"/>
        <v>3.4039170109668882E-8</v>
      </c>
      <c r="K57" s="296">
        <f>M.w2TP*Molweight</f>
        <v>1.7055133856913839E-7</v>
      </c>
      <c r="L57" s="461">
        <f t="shared" si="22"/>
        <v>3.7608596401281599E-9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900.42175856058907</v>
      </c>
      <c r="H59" s="446">
        <f t="shared" ref="H59:H65" si="23">G59/$G$103</f>
        <v>0.20568067886685942</v>
      </c>
      <c r="I59" s="296">
        <f>SUM(I60,I63:I65)</f>
        <v>8.6607359756831386</v>
      </c>
      <c r="J59" s="446">
        <f t="shared" ref="J59:J65" si="24">I59/$I$103</f>
        <v>0.20959479607363568</v>
      </c>
      <c r="K59" s="296">
        <f>SUM(K60,K63:K65)</f>
        <v>9.5937932708492042</v>
      </c>
      <c r="L59" s="461">
        <f t="shared" ref="L59:L65" si="25">K59/$K$103</f>
        <v>0.2115545395936213</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7.7172790512361971E-15</v>
      </c>
      <c r="H63" s="446">
        <f t="shared" si="23"/>
        <v>1.7628352260175254E-18</v>
      </c>
      <c r="I63" s="296">
        <f>M.w3AS*Molweight</f>
        <v>1.7953762770124378E-19</v>
      </c>
      <c r="J63" s="446">
        <f t="shared" si="24"/>
        <v>4.3449139393281572E-21</v>
      </c>
      <c r="K63" s="296">
        <f>M.w3TS*Molweight</f>
        <v>6.2597619334911843E-19</v>
      </c>
      <c r="L63" s="461">
        <f t="shared" si="25"/>
        <v>1.3803518758625326E-20</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900.41710465161441</v>
      </c>
      <c r="H64" s="446">
        <f t="shared" si="23"/>
        <v>0.20567961578819857</v>
      </c>
      <c r="I64" s="296">
        <f>M.w3AA*Molweight</f>
        <v>8.6606914602524476</v>
      </c>
      <c r="J64" s="446">
        <f t="shared" si="24"/>
        <v>0.20959371877458813</v>
      </c>
      <c r="K64" s="296">
        <f>M.w3TA*Molweight</f>
        <v>9.593743658216761</v>
      </c>
      <c r="L64" s="461">
        <f t="shared" si="25"/>
        <v>0.21155344557613331</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4.6539089746410207E-3</v>
      </c>
      <c r="H65" s="446">
        <f t="shared" si="23"/>
        <v>1.0630786608477141E-6</v>
      </c>
      <c r="I65" s="296">
        <f>M.w3AP*Molweight</f>
        <v>4.4515430691301264E-5</v>
      </c>
      <c r="J65" s="446">
        <f t="shared" si="24"/>
        <v>1.0772990475716942E-6</v>
      </c>
      <c r="K65" s="296">
        <f>M.w3TP*Molweight</f>
        <v>4.9612632443406238E-5</v>
      </c>
      <c r="L65" s="461">
        <f t="shared" si="25"/>
        <v>1.0940174880027744E-6</v>
      </c>
      <c r="M65" s="17"/>
      <c r="N65" s="156"/>
      <c r="O65" s="11"/>
      <c r="P65" s="11"/>
      <c r="Q65" s="11"/>
      <c r="R65" s="11"/>
      <c r="S65" s="11"/>
      <c r="T65" s="11"/>
      <c r="U65" s="11"/>
      <c r="V65" s="11"/>
      <c r="W65" s="11"/>
      <c r="X65" s="11"/>
      <c r="Y65" s="11"/>
      <c r="Z65" s="11"/>
      <c r="AA65" s="11"/>
      <c r="AB65" s="11"/>
      <c r="AC65" s="11"/>
      <c r="AD65" s="11"/>
      <c r="AE65" s="11"/>
      <c r="AF65" s="975"/>
      <c r="AG65" s="968" t="s">
        <v>4750</v>
      </c>
      <c r="AH65" s="968">
        <f>AG35</f>
        <v>91.099896920522426</v>
      </c>
      <c r="AI65" s="968" t="s">
        <v>4750</v>
      </c>
      <c r="AJ65" s="968">
        <f>AH35</f>
        <v>0.30493376360796359</v>
      </c>
      <c r="AK65" s="968" t="s">
        <v>4750</v>
      </c>
      <c r="AL65" s="968">
        <f>AI35</f>
        <v>7.1895628755484556E-5</v>
      </c>
      <c r="AM65" s="968" t="s">
        <v>4750</v>
      </c>
      <c r="AN65" s="969">
        <f>AJ35</f>
        <v>1.1228329191624505E-2</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3632.7996129509302</v>
      </c>
      <c r="AI66" s="968" t="s">
        <v>4751</v>
      </c>
      <c r="AJ66" s="968">
        <f>AH36</f>
        <v>19328.94147073866</v>
      </c>
      <c r="AK66" s="968" t="s">
        <v>4751</v>
      </c>
      <c r="AL66" s="968">
        <f>AI36</f>
        <v>25813553.58726979</v>
      </c>
      <c r="AM66" s="968" t="s">
        <v>4751</v>
      </c>
      <c r="AN66" s="969">
        <f>AJ36</f>
        <v>6142401.3785668416</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70445.335769190118</v>
      </c>
      <c r="D67" s="446">
        <f t="shared" ref="D67:D73" si="26">C67/$C$103</f>
        <v>2.2009298811028321E-3</v>
      </c>
      <c r="E67" s="295">
        <f>SUM(E68,E71:E73)</f>
        <v>152307.86599084103</v>
      </c>
      <c r="F67" s="446">
        <f t="shared" ref="F67:F73" si="27">E67/$E$103</f>
        <v>0.51473678279970358</v>
      </c>
      <c r="G67" s="296">
        <f>SUM(G68,G71:G73)</f>
        <v>3346.2477025397966</v>
      </c>
      <c r="H67" s="446">
        <f t="shared" ref="H67:H73" si="28">G67/$G$103</f>
        <v>0.76437346451434218</v>
      </c>
      <c r="I67" s="296">
        <f>SUM(I68,I71:I73)</f>
        <v>32.185992373843924</v>
      </c>
      <c r="J67" s="446">
        <f t="shared" ref="J67:J73" si="29">I67/$I$103</f>
        <v>0.77891954297698129</v>
      </c>
      <c r="K67" s="296">
        <f>SUM(K68,K71:K73)</f>
        <v>35.654342428219501</v>
      </c>
      <c r="L67" s="461">
        <f t="shared" ref="L67:L73" si="30">K67/$K$103</f>
        <v>0.78622060992644605</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7.3167074375139469E-4</v>
      </c>
      <c r="AI67" s="970" t="s">
        <v>4752</v>
      </c>
      <c r="AJ67" s="970">
        <f>AH37</f>
        <v>8.5563395159660356</v>
      </c>
      <c r="AK67" s="970" t="s">
        <v>4752</v>
      </c>
      <c r="AL67" s="970">
        <f>AI37</f>
        <v>20891.533876805319</v>
      </c>
      <c r="AM67" s="970" t="s">
        <v>4752</v>
      </c>
      <c r="AN67" s="971">
        <f>AJ37</f>
        <v>7170.4185520758465</v>
      </c>
      <c r="AO67" s="11"/>
      <c r="AP67" s="11"/>
      <c r="AQ67" s="979"/>
      <c r="AR67" s="980" t="s">
        <v>4750</v>
      </c>
      <c r="AS67" s="968">
        <f>AG43</f>
        <v>5.7516833705821809E-6</v>
      </c>
      <c r="AT67" s="980" t="s">
        <v>4750</v>
      </c>
      <c r="AU67" s="968">
        <f>AH43</f>
        <v>6.4494407828688468E-10</v>
      </c>
      <c r="AV67" s="980" t="s">
        <v>4750</v>
      </c>
      <c r="AW67" s="968">
        <f>AI43</f>
        <v>1.8204672573390672E-21</v>
      </c>
      <c r="AX67" s="980" t="s">
        <v>4750</v>
      </c>
      <c r="AY67" s="969">
        <f>AJ43</f>
        <v>8.2497868624194694E-12</v>
      </c>
    </row>
    <row r="68" spans="1:51" ht="12.75" customHeight="1" x14ac:dyDescent="0.3">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0.41884023497461897</v>
      </c>
      <c r="AT68" s="980" t="s">
        <v>4751</v>
      </c>
      <c r="AU68" s="968">
        <f>AH44</f>
        <v>947.32644987409526</v>
      </c>
      <c r="AV68" s="980" t="s">
        <v>4751</v>
      </c>
      <c r="AW68" s="968">
        <f>AI44</f>
        <v>3414.0702507578212</v>
      </c>
      <c r="AX68" s="980" t="s">
        <v>4751</v>
      </c>
      <c r="AY68" s="969">
        <f>AJ44</f>
        <v>102.59637397012979</v>
      </c>
    </row>
    <row r="69" spans="1:51" ht="12.75" customHeight="1" x14ac:dyDescent="0.3">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3723.9002415421965</v>
      </c>
      <c r="R69" s="979" t="s">
        <v>136</v>
      </c>
      <c r="S69" s="980">
        <f>R4</f>
        <v>102.87479819882026</v>
      </c>
      <c r="T69" s="979" t="s">
        <v>136</v>
      </c>
      <c r="U69" s="968">
        <f>S4</f>
        <v>0.41884765759454234</v>
      </c>
      <c r="V69" s="11"/>
      <c r="W69" s="979" t="s">
        <v>243</v>
      </c>
      <c r="X69" s="968">
        <f>Q16</f>
        <v>91.416130908950763</v>
      </c>
      <c r="Y69" s="979" t="s">
        <v>243</v>
      </c>
      <c r="Z69" s="968">
        <f>R16</f>
        <v>5.9771372830474269E-2</v>
      </c>
      <c r="AA69" s="979" t="s">
        <v>243</v>
      </c>
      <c r="AB69" s="968">
        <f>S16</f>
        <v>5.7523365644473317E-6</v>
      </c>
      <c r="AC69" s="11"/>
      <c r="AD69" s="11"/>
      <c r="AE69" s="11"/>
      <c r="AF69" s="11"/>
      <c r="AG69" s="11"/>
      <c r="AH69" s="11"/>
      <c r="AI69" s="11"/>
      <c r="AJ69" s="11"/>
      <c r="AK69" s="11"/>
      <c r="AL69" s="11"/>
      <c r="AM69" s="11"/>
      <c r="AN69" s="11"/>
      <c r="AO69" s="11"/>
      <c r="AP69" s="11"/>
      <c r="AQ69" s="981"/>
      <c r="AR69" s="982" t="s">
        <v>4752</v>
      </c>
      <c r="AS69" s="970">
        <f>AG45</f>
        <v>1.6709365528065683E-6</v>
      </c>
      <c r="AT69" s="982" t="s">
        <v>4752</v>
      </c>
      <c r="AU69" s="970">
        <f>AH45</f>
        <v>4.8958968276073588E-3</v>
      </c>
      <c r="AV69" s="982" t="s">
        <v>4752</v>
      </c>
      <c r="AW69" s="970">
        <f>AI45</f>
        <v>1.7786584039181267E-2</v>
      </c>
      <c r="AX69" s="982" t="s">
        <v>4752</v>
      </c>
      <c r="AY69" s="971">
        <f>AJ45</f>
        <v>1.1528777845306792E-3</v>
      </c>
    </row>
    <row r="70" spans="1:51" ht="12.75" customHeight="1" x14ac:dyDescent="0.3">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19337.802744018234</v>
      </c>
      <c r="R70" s="979" t="s">
        <v>4744</v>
      </c>
      <c r="S70" s="968">
        <f>R5</f>
        <v>2834.9162695841751</v>
      </c>
      <c r="T70" s="979" t="s">
        <v>4744</v>
      </c>
      <c r="U70" s="968">
        <f>S5</f>
        <v>947.33134577156773</v>
      </c>
      <c r="V70" s="11"/>
      <c r="W70" s="979" t="s">
        <v>244</v>
      </c>
      <c r="X70" s="968">
        <f>Q17</f>
        <v>31978916.706920318</v>
      </c>
      <c r="Y70" s="979" t="s">
        <v>244</v>
      </c>
      <c r="Z70" s="968">
        <f>R17</f>
        <v>295893.43314625602</v>
      </c>
      <c r="AA70" s="979" t="s">
        <v>244</v>
      </c>
      <c r="AB70" s="968">
        <f>S17</f>
        <v>4464.411914837021</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6.2948162380413403E-9</v>
      </c>
      <c r="D71" s="446">
        <f t="shared" si="26"/>
        <v>1.9666950271554911E-16</v>
      </c>
      <c r="E71" s="295">
        <f>M.sd2CS*Molweight</f>
        <v>2.4437116488684755E-11</v>
      </c>
      <c r="F71" s="446">
        <f t="shared" si="27"/>
        <v>8.2587216625066454E-17</v>
      </c>
      <c r="G71" s="296">
        <f>M.sdMS*Molweight</f>
        <v>1.8202772615506386E-21</v>
      </c>
      <c r="H71" s="446">
        <f t="shared" si="28"/>
        <v>4.1580055048886316E-25</v>
      </c>
      <c r="I71" s="296">
        <f>M.sdAS*Molweight</f>
        <v>4.2348466107881343E-26</v>
      </c>
      <c r="J71" s="446">
        <f t="shared" si="29"/>
        <v>1.0248572572624284E-27</v>
      </c>
      <c r="K71" s="296">
        <f>M.sdTS*Molweight</f>
        <v>1.4764732232097703E-25</v>
      </c>
      <c r="L71" s="461">
        <f t="shared" si="30"/>
        <v>3.2557988705838E-27</v>
      </c>
      <c r="M71" s="166"/>
      <c r="N71" s="156"/>
      <c r="O71" s="11"/>
      <c r="P71" s="979" t="s">
        <v>4745</v>
      </c>
      <c r="Q71" s="968">
        <f>Q6</f>
        <v>25834445.121218491</v>
      </c>
      <c r="R71" s="979" t="s">
        <v>4745</v>
      </c>
      <c r="S71" s="968">
        <f>R6</f>
        <v>256892.31124404457</v>
      </c>
      <c r="T71" s="979" t="s">
        <v>4745</v>
      </c>
      <c r="U71" s="968">
        <f>S6</f>
        <v>3414.0880373418599</v>
      </c>
      <c r="V71" s="11"/>
      <c r="W71" s="981" t="s">
        <v>246</v>
      </c>
      <c r="X71" s="970">
        <f>Q18</f>
        <v>28070.509500067878</v>
      </c>
      <c r="Y71" s="981" t="s">
        <v>246</v>
      </c>
      <c r="Z71" s="970">
        <f>R18</f>
        <v>1.1683545338103634</v>
      </c>
      <c r="AA71" s="981" t="s">
        <v>246</v>
      </c>
      <c r="AB71" s="970">
        <f>S18</f>
        <v>2.3837029587872111E-2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70423.424479552748</v>
      </c>
      <c r="D72" s="446">
        <f t="shared" si="26"/>
        <v>2.2002453047349317E-3</v>
      </c>
      <c r="E72" s="295">
        <f>M.sd2CA*Molweight</f>
        <v>152306.83246157452</v>
      </c>
      <c r="F72" s="446">
        <f t="shared" si="27"/>
        <v>0.51473328990374501</v>
      </c>
      <c r="G72" s="296">
        <f>M.sdMA*Molweight</f>
        <v>3346.2302685723334</v>
      </c>
      <c r="H72" s="446">
        <f t="shared" si="28"/>
        <v>0.76436948212472411</v>
      </c>
      <c r="I72" s="296">
        <f>M.sdAA*Molweight</f>
        <v>32.185825614980672</v>
      </c>
      <c r="J72" s="446">
        <f t="shared" si="29"/>
        <v>0.77891550731649761</v>
      </c>
      <c r="K72" s="296">
        <f>M.sdTA*Molweight</f>
        <v>35.654156570506835</v>
      </c>
      <c r="L72" s="461">
        <f t="shared" si="30"/>
        <v>0.78621651154307215</v>
      </c>
      <c r="M72" s="166"/>
      <c r="N72" s="156"/>
      <c r="O72" s="11"/>
      <c r="P72" s="981" t="s">
        <v>4746</v>
      </c>
      <c r="Q72" s="970">
        <f>Q7</f>
        <v>6149571.8083472457</v>
      </c>
      <c r="R72" s="981" t="s">
        <v>4746</v>
      </c>
      <c r="S72" s="970">
        <f>R7</f>
        <v>36064.558960335045</v>
      </c>
      <c r="T72" s="981" t="s">
        <v>4746</v>
      </c>
      <c r="U72" s="970">
        <f>S7</f>
        <v>102.59752684792257</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21.911289631067984</v>
      </c>
      <c r="D73" s="446">
        <f t="shared" si="26"/>
        <v>6.84576367703366E-7</v>
      </c>
      <c r="E73" s="295">
        <f>M.sd2CP*Molweight</f>
        <v>1.033529266481898</v>
      </c>
      <c r="F73" s="446">
        <f t="shared" si="27"/>
        <v>3.4928959584413126E-6</v>
      </c>
      <c r="G73" s="296">
        <f>M.sdMP*Molweight</f>
        <v>1.743396746326438E-2</v>
      </c>
      <c r="H73" s="446">
        <f t="shared" si="28"/>
        <v>3.982389618082144E-6</v>
      </c>
      <c r="I73" s="296">
        <f>M.sdAP*Molweight</f>
        <v>1.6675886325112394E-4</v>
      </c>
      <c r="J73" s="446">
        <f t="shared" si="29"/>
        <v>4.0356604836731219E-6</v>
      </c>
      <c r="K73" s="296">
        <f>M.sdTP*Molweight</f>
        <v>1.8585771266576442E-4</v>
      </c>
      <c r="L73" s="461">
        <f t="shared" si="30"/>
        <v>4.0983833738006936E-6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490874.53603596281</v>
      </c>
      <c r="D75" s="446">
        <f t="shared" ref="D75:D81" si="31">C75/$C$103</f>
        <v>1.5336436719868021E-2</v>
      </c>
      <c r="E75" s="295">
        <f>SUM(E76,E79:E81)</f>
        <v>6594.2525199302363</v>
      </c>
      <c r="F75" s="446">
        <f t="shared" ref="F75:F81" si="32">E75/$C$103</f>
        <v>2.0602481706105666E-4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7.0254551398803131E-5</v>
      </c>
      <c r="D79" s="446">
        <f t="shared" si="31"/>
        <v>2.1949691880768537E-12</v>
      </c>
      <c r="E79" s="295">
        <f>M.s1CS*Molweight</f>
        <v>2.241375031162556E-8</v>
      </c>
      <c r="F79" s="446">
        <f t="shared" si="32"/>
        <v>7.0027479136539217E-16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490829.42655378755</v>
      </c>
      <c r="D80" s="446">
        <f t="shared" si="31"/>
        <v>1.5335027360310621E-2</v>
      </c>
      <c r="E80" s="295">
        <f>M.s1CA*Molweight</f>
        <v>6594.2218315666269</v>
      </c>
      <c r="F80" s="446">
        <f t="shared" si="32"/>
        <v>2.0602385826178724E-4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45.109411920727183</v>
      </c>
      <c r="D81" s="446">
        <f t="shared" si="31"/>
        <v>1.4093573624320333E-6</v>
      </c>
      <c r="E81" s="295">
        <f>M.s1CP*Molweight</f>
        <v>3.0688341195824601E-2</v>
      </c>
      <c r="F81" s="446">
        <f t="shared" si="32"/>
        <v>9.5879856915821332E-10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5476891.8885942604</v>
      </c>
      <c r="D83" s="446">
        <f t="shared" ref="D83:D89" si="33">C83/$C$103</f>
        <v>0.17111501963269604</v>
      </c>
      <c r="E83" s="295">
        <f>SUM(E84,E87:E89)</f>
        <v>27027.990692282496</v>
      </c>
      <c r="F83" s="446">
        <f t="shared" ref="F83:F89" si="34">E83/$C$103</f>
        <v>8.4443791333067646E-4</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1.1132054436003923E-2</v>
      </c>
      <c r="D87" s="446">
        <f t="shared" si="33"/>
        <v>3.4779976528950036E-10</v>
      </c>
      <c r="E87" s="295">
        <f>M.s2CS*Molweight</f>
        <v>4.9808334159254429E-8</v>
      </c>
      <c r="F87" s="446">
        <f t="shared" si="34"/>
        <v>1.5561662072026532E-15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5469783.2755116513</v>
      </c>
      <c r="D88" s="446">
        <f t="shared" si="33"/>
        <v>0.17089292460289909</v>
      </c>
      <c r="E88" s="295">
        <f>M.s2CA*Molweight</f>
        <v>27027.922462691527</v>
      </c>
      <c r="F88" s="446">
        <f t="shared" si="34"/>
        <v>8.444357816275069E-4</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7108.6019505548502</v>
      </c>
      <c r="D89" s="446">
        <f t="shared" si="33"/>
        <v>2.2209468199716861E-4</v>
      </c>
      <c r="E89" s="295">
        <f>M.s2CP*Molweight</f>
        <v>6.8229541161543963E-2</v>
      </c>
      <c r="F89" s="446">
        <f t="shared" si="34"/>
        <v>2.131701613409801E-9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5.97643017522929E-2</v>
      </c>
      <c r="AI90" s="980" t="s">
        <v>4750</v>
      </c>
      <c r="AJ90" s="968">
        <f>AH39</f>
        <v>6.9905151866510033E-6</v>
      </c>
      <c r="AK90" s="980" t="s">
        <v>4750</v>
      </c>
      <c r="AL90" s="968">
        <f>AI39</f>
        <v>3.9521232624469615E-11</v>
      </c>
      <c r="AM90" s="980" t="s">
        <v>4750</v>
      </c>
      <c r="AN90" s="969">
        <f>AJ39</f>
        <v>8.0523473475185743E-8</v>
      </c>
    </row>
    <row r="91" spans="1:40" ht="12.75" customHeight="1" x14ac:dyDescent="0.3">
      <c r="A91" s="17"/>
      <c r="B91" s="104" t="s">
        <v>241</v>
      </c>
      <c r="C91" s="295">
        <f>SUM(C92,C95:C97)</f>
        <v>181805.38371702327</v>
      </c>
      <c r="D91" s="446">
        <f t="shared" ref="D91:D97" si="35">C91/$C$103</f>
        <v>5.6801617480992678E-3</v>
      </c>
      <c r="E91" s="295">
        <f>SUM(E92,E95:E97)</f>
        <v>2442.3157481223093</v>
      </c>
      <c r="F91" s="446">
        <f t="shared" ref="F91:F97" si="36">E91/$C$103</f>
        <v>7.6305487800391343E-5</v>
      </c>
      <c r="G91" s="296">
        <f>SUM(G92,G95:G97)</f>
        <v>102.32889800391771</v>
      </c>
      <c r="H91" s="446">
        <f t="shared" ref="H91:H97" si="37">G91/$G$103</f>
        <v>2.33746874828849E-2</v>
      </c>
      <c r="I91" s="296">
        <f>SUM(I92,I95:I97)</f>
        <v>0.19955638937003858</v>
      </c>
      <c r="J91" s="446">
        <f t="shared" ref="J91:J97" si="38">I91/$I$103</f>
        <v>4.8293794953038205E-3</v>
      </c>
      <c r="K91" s="296">
        <f>SUM(K92,K95:K97)</f>
        <v>6.90724546348091E-2</v>
      </c>
      <c r="L91" s="461">
        <f t="shared" ref="L91:L97" si="39">K91/$K$103</f>
        <v>1.5231296866974168E-3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102.81494347100679</v>
      </c>
      <c r="AI91" s="980" t="s">
        <v>4751</v>
      </c>
      <c r="AJ91" s="968">
        <f>AH40</f>
        <v>2834.8978660854555</v>
      </c>
      <c r="AK91" s="980" t="s">
        <v>4751</v>
      </c>
      <c r="AL91" s="968">
        <f>AI40</f>
        <v>256891.27166037963</v>
      </c>
      <c r="AM91" s="980" t="s">
        <v>4751</v>
      </c>
      <c r="AN91" s="969">
        <f>AJ40</f>
        <v>36064.448676319866</v>
      </c>
    </row>
    <row r="92" spans="1:40" ht="12.75" customHeight="1" x14ac:dyDescent="0.3">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9.042606117793272E-5</v>
      </c>
      <c r="AI92" s="982" t="s">
        <v>4752</v>
      </c>
      <c r="AJ92" s="970">
        <f>AH41</f>
        <v>1.8396508204936417E-2</v>
      </c>
      <c r="AK92" s="982" t="s">
        <v>4752</v>
      </c>
      <c r="AL92" s="970">
        <f>AI41</f>
        <v>1.0395836648921308</v>
      </c>
      <c r="AM92" s="982" t="s">
        <v>4752</v>
      </c>
      <c r="AN92" s="971">
        <f>AJ41</f>
        <v>0.11028393465211841</v>
      </c>
    </row>
    <row r="93" spans="1:40" ht="12.75" customHeight="1" x14ac:dyDescent="0.3">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2.6020204221778938E-5</v>
      </c>
      <c r="D95" s="446">
        <f t="shared" si="35"/>
        <v>8.1295155113957556E-13</v>
      </c>
      <c r="E95" s="295">
        <f>M.s3CS*Molweight</f>
        <v>8.3013890043057606E-9</v>
      </c>
      <c r="F95" s="446">
        <f t="shared" si="36"/>
        <v>2.593610338390341E-16</v>
      </c>
      <c r="G95" s="296">
        <f>M.sMS*Molweight</f>
        <v>8.2493716567121488E-12</v>
      </c>
      <c r="H95" s="446">
        <f t="shared" si="37"/>
        <v>1.8843795659602675E-15</v>
      </c>
      <c r="I95" s="296">
        <f>M.sAS*Molweight</f>
        <v>1.2790383676211861E-16</v>
      </c>
      <c r="J95" s="446">
        <f t="shared" si="38"/>
        <v>3.0953464761494808E-18</v>
      </c>
      <c r="K95" s="296">
        <f>M.sTS*Molweight</f>
        <v>2.8730187055872662E-16</v>
      </c>
      <c r="L95" s="461">
        <f t="shared" si="39"/>
        <v>6.3353475767627824E-18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181788.67650140281</v>
      </c>
      <c r="D96" s="446">
        <f t="shared" si="35"/>
        <v>5.6796397630780081E-3</v>
      </c>
      <c r="E96" s="295">
        <f>M.s3CA*Molweight</f>
        <v>2442.3043820617131</v>
      </c>
      <c r="F96" s="446">
        <f t="shared" si="36"/>
        <v>7.6305132689550816E-5</v>
      </c>
      <c r="G96" s="296">
        <f>M.sMA*Molweight</f>
        <v>102.32775557535588</v>
      </c>
      <c r="H96" s="446">
        <f t="shared" si="37"/>
        <v>2.3374426521307817E-2</v>
      </c>
      <c r="I96" s="296">
        <f>M.sAA*Molweight</f>
        <v>0.19955190092175204</v>
      </c>
      <c r="J96" s="446">
        <f t="shared" si="38"/>
        <v>4.829270872271558E-3</v>
      </c>
      <c r="K96" s="296">
        <f>M.sTA*Molweight</f>
        <v>6.9066493852156283E-2</v>
      </c>
      <c r="L96" s="461">
        <f t="shared" si="39"/>
        <v>1.5229982443581737E-3</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16.707189600269324</v>
      </c>
      <c r="D97" s="446">
        <f t="shared" si="35"/>
        <v>5.2198420830816036E-7</v>
      </c>
      <c r="E97" s="295">
        <f>M.s3CP*Molweight</f>
        <v>1.1366052294749849E-2</v>
      </c>
      <c r="F97" s="446">
        <f t="shared" si="36"/>
        <v>3.5511058116970853E-10</v>
      </c>
      <c r="G97" s="296">
        <f>M.sMP*Molweight</f>
        <v>1.1424285535917504E-3</v>
      </c>
      <c r="H97" s="446">
        <f t="shared" si="37"/>
        <v>2.6096157520145501E-7</v>
      </c>
      <c r="I97" s="296">
        <f>M.sAP*Molweight</f>
        <v>4.4884482864049759E-6</v>
      </c>
      <c r="J97" s="446">
        <f t="shared" si="38"/>
        <v>1.0862303225932319E-7</v>
      </c>
      <c r="K97" s="296">
        <f>M.sTP*Molweight</f>
        <v>5.9607826525239305E-6</v>
      </c>
      <c r="L97" s="461">
        <f t="shared" si="39"/>
        <v>1.3144233923655556E-7</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243</v>
      </c>
      <c r="C100" s="459">
        <f>SUM(C15,C23,C31,C39,C47,C55,C71,C79,C87,C95)</f>
        <v>91.416130908950763</v>
      </c>
      <c r="D100" s="446">
        <f>C100/$C$103</f>
        <v>2.8561222958967671E-6</v>
      </c>
      <c r="E100" s="459">
        <f>SUM(E15,E23,E31,E39,E47,E55,E71,E79,E87,E95)</f>
        <v>5.9771372830474269E-2</v>
      </c>
      <c r="F100" s="446">
        <f>E100/$E$103</f>
        <v>2.0200220096400057E-7</v>
      </c>
      <c r="G100" s="459">
        <f>SUM(G15,G55,G71,G63,G95)</f>
        <v>5.7519017759117422E-6</v>
      </c>
      <c r="H100" s="446">
        <f>G100/$G$103</f>
        <v>1.3138899085871146E-9</v>
      </c>
      <c r="I100" s="459">
        <f>SUM(I15,I55,I71,I63,I95)</f>
        <v>2.2160020641587756E-10</v>
      </c>
      <c r="J100" s="446">
        <f>I100/$I$103</f>
        <v>5.3628525571059057E-12</v>
      </c>
      <c r="K100" s="459">
        <f>SUM(K15,K55,K71,K63,K95)</f>
        <v>2.1318832917385618E-10</v>
      </c>
      <c r="L100" s="461">
        <f>K100/$K$103</f>
        <v>4.7010559381290869E-12</v>
      </c>
      <c r="M100" s="166"/>
      <c r="N100" s="156"/>
    </row>
    <row r="101" spans="1:14" ht="12.75" customHeight="1" x14ac:dyDescent="0.3">
      <c r="A101" s="304"/>
      <c r="B101" s="456" t="s">
        <v>244</v>
      </c>
      <c r="C101" s="459">
        <f>SUM(C16,C24,C32,C40,C48,C56,C72,C80,C88,C96)</f>
        <v>31978916.706920318</v>
      </c>
      <c r="D101" s="446">
        <f>C101/$C$103</f>
        <v>0.99912013445668435</v>
      </c>
      <c r="E101" s="459">
        <f>SUM(E16,E24,E32,E40,E48,E56,E72,E80,E88,E96)</f>
        <v>295893.43314625602</v>
      </c>
      <c r="F101" s="446">
        <f>E101/$E$103</f>
        <v>0.99999584944891762</v>
      </c>
      <c r="G101" s="459">
        <f>SUM(G16,G56,G64,G72,G96)</f>
        <v>4377.7420119778772</v>
      </c>
      <c r="H101" s="446">
        <f>G101/$G$103</f>
        <v>0.99999465846647695</v>
      </c>
      <c r="I101" s="459">
        <f>SUM(I16,I56,I64,I72,I96)</f>
        <v>41.321113957436431</v>
      </c>
      <c r="J101" s="446">
        <f>I101/$I$103</f>
        <v>0.99999474383713849</v>
      </c>
      <c r="K101" s="459">
        <f>SUM(K16,K56,K64,K72,K96)</f>
        <v>45.34878890170684</v>
      </c>
      <c r="L101" s="461">
        <f>K101/$K$103</f>
        <v>0.99999467221996063</v>
      </c>
      <c r="M101" s="166"/>
      <c r="N101" s="156"/>
    </row>
    <row r="102" spans="1:14" ht="12.75" customHeight="1" x14ac:dyDescent="0.3">
      <c r="A102" s="304"/>
      <c r="B102" s="456" t="s">
        <v>246</v>
      </c>
      <c r="C102" s="459">
        <f>SUM(C17,C25,C33,C41,C49,C57,C73,C81,C89,C97)</f>
        <v>28070.509500067878</v>
      </c>
      <c r="D102" s="446">
        <f>C102/$C$103</f>
        <v>8.7700942101976429E-4</v>
      </c>
      <c r="E102" s="459">
        <f>SUM(E17,E25,E33,E41,E49,E57,E73,E81,E89,E97)</f>
        <v>1.1683545338103634</v>
      </c>
      <c r="F102" s="446">
        <f>E102/$E$103</f>
        <v>3.9485488815079226E-6</v>
      </c>
      <c r="G102" s="459">
        <f>SUM(G17,G57,G65,G73,G97)</f>
        <v>2.3378228716930179E-2</v>
      </c>
      <c r="H102" s="446">
        <f>G102/$G$103</f>
        <v>5.3402196331746553E-6</v>
      </c>
      <c r="I102" s="459">
        <f>SUM(I17,I57,I65,I73,I97)</f>
        <v>2.171914245731106E-4</v>
      </c>
      <c r="J102" s="446">
        <f>I102/$I$103</f>
        <v>5.2561574986417778E-6</v>
      </c>
      <c r="K102" s="459">
        <f>SUM(K17,K57,K65,K73,K97)</f>
        <v>2.4160944636882216E-4</v>
      </c>
      <c r="L102" s="461">
        <f>K102/$K$103</f>
        <v>5.327775338179821E-6</v>
      </c>
      <c r="M102" s="166"/>
      <c r="N102" s="156"/>
    </row>
    <row r="103" spans="1:14" ht="12.75" customHeight="1" thickBot="1" x14ac:dyDescent="0.35">
      <c r="A103" s="304"/>
      <c r="B103" s="482" t="s">
        <v>247</v>
      </c>
      <c r="C103" s="485">
        <f>SUM(C99:C102)</f>
        <v>32007078.632551294</v>
      </c>
      <c r="D103" s="485"/>
      <c r="E103" s="485">
        <f>SUM(E99:E102)</f>
        <v>295894.66127216263</v>
      </c>
      <c r="F103" s="485"/>
      <c r="G103" s="485">
        <f>SUM(G99:G102)</f>
        <v>4377.7653959584959</v>
      </c>
      <c r="H103" s="485"/>
      <c r="I103" s="485">
        <f>SUM(I99:I102)</f>
        <v>41.321331149082603</v>
      </c>
      <c r="J103" s="485"/>
      <c r="K103" s="485">
        <f>SUM(K99:K102)</f>
        <v>45.349030511366401</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3.xml><?xml version="1.0" encoding="utf-8"?>
<ds:datastoreItem xmlns:ds="http://schemas.openxmlformats.org/officeDocument/2006/customXml" ds:itemID="{3E688F55-3636-49B6-AA29-79B105F57E9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2024-07-15T12:14:15Z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