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A3F89DAD-93FD-48CF-8774-6FB47B844890}" xr6:coauthVersionLast="47" xr6:coauthVersionMax="47" xr10:uidLastSave="{00000000-0000-0000-0000-000000000000}"/>
  <bookViews>
    <workbookView xWindow="-120" yWindow="-120" windowWidth="29040" windowHeight="1584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6" i="3" l="1"/>
  <c r="I75" i="3"/>
  <c r="I74" i="3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506" i="22" l="1"/>
  <c r="B885" i="22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I17" i="18"/>
  <c r="P6" i="2" l="1"/>
  <c r="U6" i="2"/>
  <c r="G6" i="2"/>
  <c r="BN12" i="23"/>
  <c r="S6" i="2"/>
  <c r="J6" i="2"/>
  <c r="E6" i="2"/>
  <c r="BQ12" i="23" s="1"/>
  <c r="O6" i="2"/>
  <c r="Z6" i="2"/>
  <c r="K6" i="2"/>
  <c r="M6" i="2"/>
  <c r="F6" i="2"/>
  <c r="D6" i="2"/>
  <c r="BP12" i="23" s="1"/>
  <c r="R6" i="2"/>
  <c r="J35" i="3"/>
  <c r="L35" i="3" s="1"/>
  <c r="J17" i="3"/>
  <c r="C5" i="23"/>
  <c r="P17" i="3"/>
  <c r="BO12" i="23"/>
  <c r="J15" i="3"/>
  <c r="L15" i="3" s="1"/>
  <c r="L84" i="3" s="1"/>
  <c r="J37" i="3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J60" i="3"/>
  <c r="I54" i="3"/>
  <c r="I46" i="3"/>
  <c r="I63" i="3"/>
  <c r="I50" i="3"/>
  <c r="J42" i="3"/>
  <c r="I53" i="3"/>
  <c r="I60" i="3"/>
  <c r="I52" i="3"/>
  <c r="J54" i="3"/>
  <c r="I62" i="3"/>
  <c r="L100" i="3"/>
  <c r="L93" i="3"/>
  <c r="L37" i="3"/>
  <c r="L97" i="3"/>
  <c r="L91" i="3"/>
  <c r="K136" i="6"/>
  <c r="L136" i="6" s="1"/>
  <c r="L106" i="3" l="1"/>
  <c r="AJ5" i="11" s="1"/>
  <c r="L85" i="3"/>
  <c r="L92" i="3"/>
  <c r="K137" i="6"/>
  <c r="L137" i="6" s="1"/>
  <c r="L88" i="3"/>
  <c r="I16" i="16" s="1"/>
  <c r="L94" i="3"/>
  <c r="L101" i="3"/>
  <c r="L80" i="3"/>
  <c r="L86" i="3"/>
  <c r="L5" i="11" s="1"/>
  <c r="L104" i="3"/>
  <c r="L83" i="3"/>
  <c r="L90" i="3"/>
  <c r="K96" i="8"/>
  <c r="L96" i="8" s="1"/>
  <c r="L96" i="3"/>
  <c r="L102" i="3"/>
  <c r="L82" i="3"/>
  <c r="L98" i="3"/>
  <c r="Z5" i="11" s="1"/>
  <c r="L105" i="3"/>
  <c r="B330" i="22"/>
  <c r="K28" i="3"/>
  <c r="L28" i="3" s="1"/>
  <c r="B336" i="22"/>
  <c r="K32" i="3"/>
  <c r="L32" i="3" s="1"/>
  <c r="K25" i="3"/>
  <c r="L25" i="3" s="1"/>
  <c r="B335" i="22"/>
  <c r="K33" i="3"/>
  <c r="L33" i="3" s="1"/>
  <c r="B328" i="22"/>
  <c r="K24" i="3"/>
  <c r="L24" i="3" s="1"/>
  <c r="B332" i="22"/>
  <c r="B333" i="22"/>
  <c r="B339" i="22"/>
  <c r="B338" i="22"/>
  <c r="K31" i="3"/>
  <c r="L31" i="3" s="1"/>
  <c r="K26" i="3"/>
  <c r="L26" i="3" s="1"/>
  <c r="K29" i="3"/>
  <c r="L29" i="3" s="1"/>
  <c r="K27" i="3"/>
  <c r="L27" i="3" s="1"/>
  <c r="B329" i="22"/>
  <c r="B334" i="22"/>
  <c r="B331" i="22"/>
  <c r="B337" i="22"/>
  <c r="K34" i="3"/>
  <c r="L34" i="3" s="1"/>
  <c r="I55" i="3"/>
  <c r="J56" i="3"/>
  <c r="J43" i="3"/>
  <c r="I42" i="3"/>
  <c r="J58" i="3"/>
  <c r="I49" i="3"/>
  <c r="J57" i="3"/>
  <c r="I57" i="3"/>
  <c r="I43" i="3"/>
  <c r="J46" i="3"/>
  <c r="J44" i="3"/>
  <c r="K18" i="3" s="1"/>
  <c r="L18" i="3" s="1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L75" i="3"/>
  <c r="K211" i="6" s="1"/>
  <c r="L211" i="6" s="1"/>
  <c r="N445" i="18"/>
  <c r="P652" i="18"/>
  <c r="L222" i="18"/>
  <c r="O652" i="18"/>
  <c r="M786" i="18"/>
  <c r="N924" i="18"/>
  <c r="P924" i="18"/>
  <c r="O445" i="18"/>
  <c r="O924" i="18"/>
  <c r="M788" i="18"/>
  <c r="M652" i="18"/>
  <c r="N220" i="18"/>
  <c r="N652" i="18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U5" i="11"/>
  <c r="AC30" i="23"/>
  <c r="BJ99" i="23" s="1"/>
  <c r="I21" i="16"/>
  <c r="D5" i="11"/>
  <c r="AC12" i="23"/>
  <c r="I7" i="16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AG5" i="11"/>
  <c r="AC45" i="23"/>
  <c r="BF149" i="23" s="1"/>
  <c r="I32" i="16"/>
  <c r="J5" i="11"/>
  <c r="AC18" i="23"/>
  <c r="BJ36" i="23" s="1"/>
  <c r="I11" i="16"/>
  <c r="K209" i="6"/>
  <c r="L209" i="6" s="1"/>
  <c r="K216" i="7"/>
  <c r="L216" i="7" s="1"/>
  <c r="K210" i="6"/>
  <c r="L210" i="6" s="1"/>
  <c r="K217" i="7"/>
  <c r="L217" i="7" s="1"/>
  <c r="K274" i="8"/>
  <c r="L274" i="8" s="1"/>
  <c r="B558" i="22"/>
  <c r="B561" i="22"/>
  <c r="B570" i="22"/>
  <c r="B557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I25" i="16" l="1"/>
  <c r="N650" i="18"/>
  <c r="B723" i="22"/>
  <c r="M924" i="18"/>
  <c r="AC36" i="23"/>
  <c r="AX161" i="23" s="1"/>
  <c r="AC20" i="23"/>
  <c r="BJ34" i="23" s="1"/>
  <c r="I15" i="16"/>
  <c r="N222" i="18"/>
  <c r="P222" i="18"/>
  <c r="M222" i="18"/>
  <c r="P786" i="18"/>
  <c r="B721" i="22"/>
  <c r="B724" i="22"/>
  <c r="B725" i="22"/>
  <c r="L788" i="18"/>
  <c r="O922" i="18"/>
  <c r="N788" i="18"/>
  <c r="P650" i="18"/>
  <c r="L922" i="18"/>
  <c r="L652" i="18"/>
  <c r="L786" i="18"/>
  <c r="P447" i="18"/>
  <c r="N922" i="18"/>
  <c r="M447" i="18"/>
  <c r="O650" i="18"/>
  <c r="L220" i="18"/>
  <c r="O788" i="18"/>
  <c r="M922" i="18"/>
  <c r="M220" i="18"/>
  <c r="P445" i="18"/>
  <c r="K17" i="3"/>
  <c r="L17" i="3" s="1"/>
  <c r="N447" i="18"/>
  <c r="P922" i="18"/>
  <c r="M445" i="18"/>
  <c r="P220" i="18"/>
  <c r="O786" i="18"/>
  <c r="N786" i="18"/>
  <c r="O222" i="18"/>
  <c r="O447" i="18"/>
  <c r="L650" i="18"/>
  <c r="M650" i="18"/>
  <c r="L445" i="18"/>
  <c r="B722" i="22"/>
  <c r="L924" i="18"/>
  <c r="K19" i="3"/>
  <c r="L19" i="3" s="1"/>
  <c r="K62" i="8"/>
  <c r="L62" i="8" s="1"/>
  <c r="B608" i="22"/>
  <c r="K61" i="8"/>
  <c r="L61" i="8" s="1"/>
  <c r="K82" i="7"/>
  <c r="L82" i="7" s="1"/>
  <c r="K76" i="7"/>
  <c r="L76" i="7" s="1"/>
  <c r="K76" i="6"/>
  <c r="L76" i="6" s="1"/>
  <c r="B604" i="22"/>
  <c r="B603" i="22"/>
  <c r="B610" i="22"/>
  <c r="B606" i="22"/>
  <c r="K198" i="8"/>
  <c r="L198" i="8" s="1"/>
  <c r="K333" i="8"/>
  <c r="L333" i="8" s="1"/>
  <c r="K334" i="8"/>
  <c r="L334" i="8" s="1"/>
  <c r="K88" i="7"/>
  <c r="L88" i="7" s="1"/>
  <c r="K197" i="8"/>
  <c r="L197" i="8" s="1"/>
  <c r="B605" i="22"/>
  <c r="K94" i="7"/>
  <c r="L94" i="7" s="1"/>
  <c r="K66" i="8"/>
  <c r="L66" i="8" s="1"/>
  <c r="K91" i="7"/>
  <c r="L91" i="7" s="1"/>
  <c r="K99" i="7"/>
  <c r="L99" i="7" s="1"/>
  <c r="B629" i="22"/>
  <c r="B639" i="22"/>
  <c r="K191" i="8"/>
  <c r="L191" i="8" s="1"/>
  <c r="B638" i="22"/>
  <c r="K328" i="8"/>
  <c r="L328" i="8" s="1"/>
  <c r="K79" i="7"/>
  <c r="L79" i="7" s="1"/>
  <c r="B633" i="22"/>
  <c r="K98" i="6"/>
  <c r="L98" i="6" s="1"/>
  <c r="K88" i="6"/>
  <c r="L88" i="6" s="1"/>
  <c r="K207" i="8"/>
  <c r="L207" i="8" s="1"/>
  <c r="K327" i="8"/>
  <c r="L327" i="8" s="1"/>
  <c r="B632" i="22"/>
  <c r="K103" i="6"/>
  <c r="L103" i="6" s="1"/>
  <c r="B618" i="22"/>
  <c r="K202" i="8"/>
  <c r="L202" i="8" s="1"/>
  <c r="B626" i="22"/>
  <c r="B628" i="22"/>
  <c r="B623" i="22"/>
  <c r="K71" i="8"/>
  <c r="L71" i="8" s="1"/>
  <c r="B616" i="22"/>
  <c r="B640" i="22"/>
  <c r="K192" i="8"/>
  <c r="L192" i="8" s="1"/>
  <c r="K56" i="8"/>
  <c r="L56" i="8" s="1"/>
  <c r="B637" i="22"/>
  <c r="K67" i="6"/>
  <c r="L67" i="6" s="1"/>
  <c r="B634" i="22"/>
  <c r="K104" i="7"/>
  <c r="L104" i="7" s="1"/>
  <c r="B627" i="22"/>
  <c r="B621" i="22"/>
  <c r="K85" i="7"/>
  <c r="L85" i="7" s="1"/>
  <c r="B636" i="22"/>
  <c r="K109" i="7"/>
  <c r="L109" i="7" s="1"/>
  <c r="K73" i="6"/>
  <c r="L73" i="6" s="1"/>
  <c r="B620" i="22"/>
  <c r="B619" i="22"/>
  <c r="B624" i="22"/>
  <c r="K338" i="8"/>
  <c r="L338" i="8" s="1"/>
  <c r="K85" i="6"/>
  <c r="L85" i="6" s="1"/>
  <c r="K93" i="6"/>
  <c r="L93" i="6" s="1"/>
  <c r="K343" i="8"/>
  <c r="L343" i="8" s="1"/>
  <c r="B630" i="22"/>
  <c r="K79" i="6"/>
  <c r="L79" i="6" s="1"/>
  <c r="K55" i="8"/>
  <c r="L55" i="8" s="1"/>
  <c r="B635" i="22"/>
  <c r="B641" i="22"/>
  <c r="K73" i="7"/>
  <c r="L73" i="7" s="1"/>
  <c r="B631" i="22"/>
  <c r="B622" i="22"/>
  <c r="B642" i="22"/>
  <c r="B560" i="22"/>
  <c r="B569" i="22"/>
  <c r="K410" i="8"/>
  <c r="L410" i="8" s="1"/>
  <c r="K215" i="7"/>
  <c r="L215" i="7" s="1"/>
  <c r="P788" i="18"/>
  <c r="B559" i="22"/>
  <c r="B555" i="22"/>
  <c r="B556" i="22"/>
  <c r="K138" i="8"/>
  <c r="L138" i="8" s="1"/>
  <c r="K82" i="6"/>
  <c r="L82" i="6" s="1"/>
  <c r="B365" i="22" s="1"/>
  <c r="K70" i="6"/>
  <c r="L70" i="6" s="1"/>
  <c r="I8" i="16"/>
  <c r="AC13" i="23"/>
  <c r="AS28" i="23" s="1"/>
  <c r="O220" i="18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K75" i="3" l="1"/>
  <c r="K74" i="3"/>
  <c r="L74" i="3" s="1"/>
  <c r="K78" i="6"/>
  <c r="L78" i="6" s="1"/>
  <c r="B617" i="22"/>
  <c r="B615" i="22"/>
  <c r="B625" i="22"/>
  <c r="K153" i="6"/>
  <c r="L153" i="6" s="1"/>
  <c r="B578" i="22"/>
  <c r="K164" i="6"/>
  <c r="L164" i="6" s="1"/>
  <c r="B5" i="22"/>
  <c r="K202" i="6"/>
  <c r="L202" i="6" s="1"/>
  <c r="K190" i="6" s="1"/>
  <c r="L190" i="6" s="1"/>
  <c r="B513" i="22"/>
  <c r="B760" i="22"/>
  <c r="K170" i="7"/>
  <c r="L170" i="7" s="1"/>
  <c r="B4" i="22"/>
  <c r="B502" i="22"/>
  <c r="K159" i="7"/>
  <c r="L159" i="7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B203" i="22"/>
  <c r="K163" i="6"/>
  <c r="L163" i="6" s="1"/>
  <c r="K149" i="6" s="1"/>
  <c r="L149" i="6" s="1"/>
  <c r="H11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B205" i="22"/>
  <c r="K384" i="8"/>
  <c r="L384" i="8" s="1"/>
  <c r="K376" i="8" s="1"/>
  <c r="L376" i="8" s="1"/>
  <c r="AI39" i="11" s="1"/>
  <c r="B207" i="22"/>
  <c r="K112" i="8"/>
  <c r="L112" i="8" s="1"/>
  <c r="K104" i="8" s="1"/>
  <c r="L104" i="8" s="1"/>
  <c r="Y29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471" i="22" l="1"/>
  <c r="B562" i="22"/>
  <c r="B465" i="22"/>
  <c r="B463" i="22"/>
  <c r="B459" i="22"/>
  <c r="K214" i="7"/>
  <c r="L214" i="7" s="1"/>
  <c r="K198" i="7" s="1"/>
  <c r="L198" i="7" s="1"/>
  <c r="R23" i="11" s="1"/>
  <c r="B567" i="22"/>
  <c r="K137" i="8"/>
  <c r="L137" i="8" s="1"/>
  <c r="K126" i="8" s="1"/>
  <c r="L126" i="8" s="1"/>
  <c r="Y30" i="11" s="1"/>
  <c r="B566" i="22"/>
  <c r="B563" i="22"/>
  <c r="B568" i="22"/>
  <c r="B467" i="22"/>
  <c r="K208" i="6"/>
  <c r="L208" i="6" s="1"/>
  <c r="K192" i="6" s="1"/>
  <c r="L192" i="6" s="1"/>
  <c r="I14" i="11" s="1"/>
  <c r="K273" i="8"/>
  <c r="L273" i="8" s="1"/>
  <c r="K262" i="8" s="1"/>
  <c r="L262" i="8" s="1"/>
  <c r="AD35" i="11" s="1"/>
  <c r="B565" i="22"/>
  <c r="K213" i="7"/>
  <c r="L213" i="7" s="1"/>
  <c r="K197" i="7" s="1"/>
  <c r="L197" i="7" s="1"/>
  <c r="Q22" i="11" s="1"/>
  <c r="K409" i="8"/>
  <c r="L409" i="8" s="1"/>
  <c r="K398" i="8" s="1"/>
  <c r="L398" i="8" s="1"/>
  <c r="B461" i="22"/>
  <c r="B469" i="22"/>
  <c r="K207" i="6"/>
  <c r="L207" i="6" s="1"/>
  <c r="K191" i="6" s="1"/>
  <c r="L191" i="6" s="1"/>
  <c r="H13" i="11" s="1"/>
  <c r="B564" i="22"/>
  <c r="AI40" i="11"/>
  <c r="K154" i="7"/>
  <c r="L154" i="7" s="1"/>
  <c r="P23" i="11" s="1"/>
  <c r="B819" i="22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127" i="7" l="1"/>
  <c r="L127" i="7" s="1"/>
  <c r="K126" i="7" s="1"/>
  <c r="L126" i="7" s="1"/>
  <c r="K115" i="7" s="1"/>
  <c r="L115" i="7" s="1"/>
  <c r="K77" i="8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7" i="7"/>
  <c r="L117" i="7" s="1"/>
  <c r="K118" i="7"/>
  <c r="L118" i="7" s="1"/>
  <c r="K116" i="7" l="1"/>
  <c r="L116" i="7" s="1"/>
  <c r="K119" i="7"/>
  <c r="L119" i="7" s="1"/>
  <c r="M26" i="11" s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l="1" a="1"/>
  <c r="AJ45" i="11" s="1"/>
  <c r="AE45" i="11" l="1"/>
  <c r="U45" i="11"/>
  <c r="P45" i="11"/>
  <c r="O45" i="11"/>
  <c r="E45" i="11"/>
  <c r="AD45" i="11"/>
  <c r="AG45" i="11"/>
  <c r="AB45" i="11"/>
  <c r="AB78" i="11" s="1"/>
  <c r="AH45" i="11"/>
  <c r="AA45" i="11"/>
  <c r="AC45" i="11"/>
  <c r="Q45" i="11"/>
  <c r="Q81" i="11" s="1"/>
  <c r="I45" i="11"/>
  <c r="I80" i="11" s="1"/>
  <c r="V45" i="11"/>
  <c r="AI45" i="11"/>
  <c r="T45" i="11"/>
  <c r="R45" i="11"/>
  <c r="R55" i="11" s="1"/>
  <c r="Z45" i="11"/>
  <c r="AF45" i="11"/>
  <c r="N45" i="11"/>
  <c r="K45" i="11"/>
  <c r="K70" i="11" s="1"/>
  <c r="W45" i="11"/>
  <c r="F45" i="11"/>
  <c r="S45" i="11"/>
  <c r="L45" i="11"/>
  <c r="L66" i="11" s="1"/>
  <c r="D45" i="11"/>
  <c r="D78" i="11" s="1"/>
  <c r="J45" i="11"/>
  <c r="J59" i="11" s="1"/>
  <c r="X45" i="11"/>
  <c r="Y45" i="11"/>
  <c r="H45" i="11"/>
  <c r="G45" i="11"/>
  <c r="M45" i="11"/>
  <c r="D66" i="11"/>
  <c r="AF12" i="23"/>
  <c r="D56" i="11"/>
  <c r="J70" i="11"/>
  <c r="J74" i="11"/>
  <c r="J62" i="11"/>
  <c r="J69" i="11"/>
  <c r="J68" i="11"/>
  <c r="J80" i="11"/>
  <c r="J60" i="11"/>
  <c r="J67" i="11"/>
  <c r="J77" i="11"/>
  <c r="BX12" i="23"/>
  <c r="J82" i="11"/>
  <c r="J71" i="11"/>
  <c r="J64" i="11"/>
  <c r="J76" i="11"/>
  <c r="C39" i="23"/>
  <c r="J86" i="11"/>
  <c r="J72" i="11"/>
  <c r="J73" i="11"/>
  <c r="AK18" i="23"/>
  <c r="J65" i="11"/>
  <c r="J55" i="11"/>
  <c r="J56" i="11"/>
  <c r="J94" i="11"/>
  <c r="J57" i="11"/>
  <c r="X57" i="11"/>
  <c r="X80" i="11"/>
  <c r="X63" i="11"/>
  <c r="Y65" i="11"/>
  <c r="Y64" i="11"/>
  <c r="Y79" i="11"/>
  <c r="Y55" i="11"/>
  <c r="Y63" i="11"/>
  <c r="Y86" i="11"/>
  <c r="Y80" i="11"/>
  <c r="AN35" i="23"/>
  <c r="Y60" i="11"/>
  <c r="Y72" i="11"/>
  <c r="Y70" i="11"/>
  <c r="AT159" i="23"/>
  <c r="Y94" i="11"/>
  <c r="Y59" i="11"/>
  <c r="Y74" i="11"/>
  <c r="Y50" i="11"/>
  <c r="CM12" i="23"/>
  <c r="H84" i="11"/>
  <c r="H86" i="11"/>
  <c r="G59" i="11"/>
  <c r="G57" i="11"/>
  <c r="G76" i="11"/>
  <c r="G61" i="11"/>
  <c r="G62" i="11"/>
  <c r="G69" i="11"/>
  <c r="AG15" i="23"/>
  <c r="AU33" i="23" s="1"/>
  <c r="BU12" i="23"/>
  <c r="G63" i="11"/>
  <c r="G79" i="11"/>
  <c r="G81" i="11"/>
  <c r="G66" i="11"/>
  <c r="G64" i="11"/>
  <c r="G84" i="11"/>
  <c r="C27" i="23"/>
  <c r="G50" i="11"/>
  <c r="G67" i="11"/>
  <c r="G83" i="11"/>
  <c r="G65" i="11"/>
  <c r="G72" i="11"/>
  <c r="G74" i="11"/>
  <c r="G68" i="11"/>
  <c r="AI15" i="23"/>
  <c r="AU21" i="23" s="1"/>
  <c r="G94" i="11"/>
  <c r="G55" i="11"/>
  <c r="G87" i="11"/>
  <c r="G70" i="11"/>
  <c r="G56" i="11"/>
  <c r="G85" i="11"/>
  <c r="G80" i="11"/>
  <c r="G73" i="11"/>
  <c r="M59" i="11"/>
  <c r="M82" i="11"/>
  <c r="M94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67" i="11"/>
  <c r="AE80" i="11"/>
  <c r="AE70" i="11"/>
  <c r="BD144" i="23"/>
  <c r="AE62" i="11"/>
  <c r="AE81" i="11"/>
  <c r="AE74" i="11"/>
  <c r="AE83" i="11"/>
  <c r="AE57" i="11"/>
  <c r="AE76" i="11"/>
  <c r="AE61" i="11"/>
  <c r="AE75" i="11"/>
  <c r="AE59" i="11"/>
  <c r="AE77" i="11"/>
  <c r="AE78" i="11"/>
  <c r="AG42" i="23"/>
  <c r="AE94" i="11"/>
  <c r="AE79" i="11"/>
  <c r="U79" i="11"/>
  <c r="U62" i="11"/>
  <c r="P66" i="11"/>
  <c r="P80" i="11"/>
  <c r="P63" i="11"/>
  <c r="P83" i="11"/>
  <c r="P78" i="11"/>
  <c r="P87" i="11"/>
  <c r="CD12" i="23"/>
  <c r="P56" i="11"/>
  <c r="P68" i="11"/>
  <c r="P84" i="11"/>
  <c r="P70" i="11"/>
  <c r="AM25" i="23"/>
  <c r="P85" i="11"/>
  <c r="P94" i="11"/>
  <c r="P82" i="11"/>
  <c r="P58" i="11"/>
  <c r="P64" i="11"/>
  <c r="P55" i="11"/>
  <c r="P75" i="11"/>
  <c r="P69" i="11"/>
  <c r="P73" i="11"/>
  <c r="AI25" i="23"/>
  <c r="AU85" i="23" s="1"/>
  <c r="E27" i="23"/>
  <c r="P59" i="11"/>
  <c r="P57" i="11"/>
  <c r="P76" i="11"/>
  <c r="P81" i="11"/>
  <c r="P77" i="11"/>
  <c r="P71" i="11"/>
  <c r="P79" i="11"/>
  <c r="AE25" i="23"/>
  <c r="AS90" i="23" s="1"/>
  <c r="P50" i="11"/>
  <c r="P46" i="11"/>
  <c r="O70" i="11"/>
  <c r="AM24" i="23"/>
  <c r="E60" i="11"/>
  <c r="E85" i="11"/>
  <c r="E75" i="11"/>
  <c r="E82" i="11"/>
  <c r="AG13" i="23"/>
  <c r="BA27" i="23" s="1"/>
  <c r="E64" i="11"/>
  <c r="E80" i="11"/>
  <c r="E81" i="11"/>
  <c r="E78" i="11"/>
  <c r="E77" i="11"/>
  <c r="E68" i="11"/>
  <c r="E74" i="11"/>
  <c r="E86" i="11"/>
  <c r="E62" i="11"/>
  <c r="E94" i="11"/>
  <c r="E72" i="11"/>
  <c r="E58" i="11"/>
  <c r="E79" i="11"/>
  <c r="E71" i="11"/>
  <c r="E83" i="11"/>
  <c r="E50" i="11"/>
  <c r="AD70" i="11"/>
  <c r="AD66" i="11"/>
  <c r="AD75" i="11"/>
  <c r="AD85" i="11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B46" i="11"/>
  <c r="AB69" i="11"/>
  <c r="AI39" i="23"/>
  <c r="AI38" i="23" s="1"/>
  <c r="AH58" i="11"/>
  <c r="AH70" i="11"/>
  <c r="AH78" i="11"/>
  <c r="AH87" i="11"/>
  <c r="AH83" i="11"/>
  <c r="AH50" i="11"/>
  <c r="AH61" i="11"/>
  <c r="AH66" i="11"/>
  <c r="AH80" i="11"/>
  <c r="AH64" i="11"/>
  <c r="AE46" i="23"/>
  <c r="BE157" i="23" s="1"/>
  <c r="AG46" i="23"/>
  <c r="BH158" i="23" s="1"/>
  <c r="AH67" i="11"/>
  <c r="AH75" i="11"/>
  <c r="AH82" i="11"/>
  <c r="AH79" i="11"/>
  <c r="AM47" i="23"/>
  <c r="AH56" i="11"/>
  <c r="AH69" i="11"/>
  <c r="AH84" i="11"/>
  <c r="AH71" i="11"/>
  <c r="K31" i="23"/>
  <c r="AA81" i="11"/>
  <c r="AA77" i="11"/>
  <c r="AA60" i="11"/>
  <c r="AA46" i="11"/>
  <c r="AA72" i="11"/>
  <c r="AH39" i="23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80" i="11"/>
  <c r="CE12" i="23"/>
  <c r="I64" i="11"/>
  <c r="I69" i="11"/>
  <c r="I85" i="11"/>
  <c r="I83" i="11"/>
  <c r="I63" i="11"/>
  <c r="I94" i="11"/>
  <c r="AN15" i="23"/>
  <c r="I68" i="11"/>
  <c r="I84" i="11"/>
  <c r="I73" i="11"/>
  <c r="I56" i="11"/>
  <c r="I62" i="11"/>
  <c r="I74" i="11"/>
  <c r="C35" i="23"/>
  <c r="I46" i="11"/>
  <c r="I55" i="11"/>
  <c r="I61" i="11"/>
  <c r="I77" i="11"/>
  <c r="I67" i="11"/>
  <c r="I71" i="11"/>
  <c r="I86" i="11"/>
  <c r="I66" i="11"/>
  <c r="BW12" i="23"/>
  <c r="I57" i="11"/>
  <c r="I76" i="11"/>
  <c r="I81" i="11"/>
  <c r="I75" i="11"/>
  <c r="I70" i="11"/>
  <c r="I87" i="11"/>
  <c r="AN17" i="23"/>
  <c r="AU40" i="23" s="1"/>
  <c r="V82" i="11"/>
  <c r="V64" i="11"/>
  <c r="V72" i="11"/>
  <c r="V62" i="11"/>
  <c r="AD44" i="23"/>
  <c r="BF136" i="23" s="1"/>
  <c r="AF32" i="23"/>
  <c r="AU136" i="23" s="1"/>
  <c r="V68" i="11"/>
  <c r="AG32" i="23"/>
  <c r="AU141" i="23" s="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56" i="11"/>
  <c r="AI61" i="11"/>
  <c r="AI59" i="11"/>
  <c r="AI81" i="11"/>
  <c r="AI69" i="11"/>
  <c r="AI76" i="11"/>
  <c r="AI84" i="11"/>
  <c r="AG47" i="23"/>
  <c r="BG164" i="23" s="1"/>
  <c r="AN47" i="23"/>
  <c r="AI46" i="11"/>
  <c r="T80" i="11"/>
  <c r="T46" i="11"/>
  <c r="R61" i="11"/>
  <c r="R78" i="11"/>
  <c r="R60" i="11"/>
  <c r="R83" i="11"/>
  <c r="R84" i="11"/>
  <c r="R75" i="11"/>
  <c r="R57" i="11"/>
  <c r="R63" i="11"/>
  <c r="R62" i="11"/>
  <c r="R68" i="11"/>
  <c r="AN27" i="23"/>
  <c r="AU104" i="23" s="1"/>
  <c r="R80" i="11"/>
  <c r="R71" i="11"/>
  <c r="E35" i="23"/>
  <c r="R70" i="11"/>
  <c r="R86" i="11"/>
  <c r="R64" i="11"/>
  <c r="R73" i="11"/>
  <c r="AN25" i="23"/>
  <c r="R85" i="11"/>
  <c r="CF12" i="23"/>
  <c r="R59" i="11"/>
  <c r="R58" i="11"/>
  <c r="R65" i="11"/>
  <c r="R66" i="11"/>
  <c r="R77" i="11"/>
  <c r="R50" i="11"/>
  <c r="R87" i="11"/>
  <c r="R81" i="11"/>
  <c r="Z56" i="11"/>
  <c r="Z75" i="11"/>
  <c r="Z62" i="11"/>
  <c r="Z78" i="11"/>
  <c r="Z58" i="11"/>
  <c r="Z82" i="11"/>
  <c r="Z68" i="11"/>
  <c r="Z83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82" i="11"/>
  <c r="N76" i="11"/>
  <c r="N68" i="11"/>
  <c r="K55" i="11"/>
  <c r="K86" i="11"/>
  <c r="K68" i="11"/>
  <c r="K61" i="11"/>
  <c r="K65" i="11"/>
  <c r="K81" i="11"/>
  <c r="K67" i="11"/>
  <c r="BY12" i="23"/>
  <c r="K74" i="11"/>
  <c r="K58" i="11"/>
  <c r="K69" i="11"/>
  <c r="K71" i="11"/>
  <c r="K72" i="11"/>
  <c r="C43" i="23"/>
  <c r="K59" i="11"/>
  <c r="K78" i="11"/>
  <c r="K79" i="11"/>
  <c r="K76" i="11"/>
  <c r="K77" i="11"/>
  <c r="AG19" i="23"/>
  <c r="BF27" i="23" s="1"/>
  <c r="K66" i="11"/>
  <c r="K63" i="11"/>
  <c r="K84" i="11"/>
  <c r="K83" i="11"/>
  <c r="K87" i="11"/>
  <c r="AK19" i="23"/>
  <c r="BH20" i="23" s="1"/>
  <c r="K46" i="11"/>
  <c r="K94" i="11"/>
  <c r="AL19" i="23"/>
  <c r="K57" i="11"/>
  <c r="W60" i="11"/>
  <c r="AI33" i="23"/>
  <c r="AI32" i="23" s="1"/>
  <c r="W78" i="11"/>
  <c r="W80" i="11"/>
  <c r="CK12" i="23"/>
  <c r="W71" i="11"/>
  <c r="W94" i="11"/>
  <c r="W62" i="11"/>
  <c r="W87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84" i="11"/>
  <c r="S76" i="11"/>
  <c r="S78" i="11"/>
  <c r="S63" i="11"/>
  <c r="CG12" i="23"/>
  <c r="S79" i="11"/>
  <c r="S87" i="11"/>
  <c r="AL28" i="23"/>
  <c r="L58" i="11"/>
  <c r="L64" i="11"/>
  <c r="L80" i="11"/>
  <c r="L87" i="11"/>
  <c r="L83" i="11"/>
  <c r="L65" i="11"/>
  <c r="C47" i="23"/>
  <c r="L81" i="11"/>
  <c r="L68" i="11"/>
  <c r="L71" i="11"/>
  <c r="L70" i="11"/>
  <c r="L73" i="11"/>
  <c r="L60" i="11"/>
  <c r="L72" i="11"/>
  <c r="L77" i="11"/>
  <c r="L69" i="11"/>
  <c r="L78" i="11"/>
  <c r="AG20" i="23"/>
  <c r="BH27" i="23" s="1"/>
  <c r="L46" i="11"/>
  <c r="L62" i="11"/>
  <c r="L61" i="11"/>
  <c r="L82" i="11"/>
  <c r="L75" i="11"/>
  <c r="L86" i="11"/>
  <c r="L74" i="11"/>
  <c r="BZ12" i="23"/>
  <c r="AL20" i="23"/>
  <c r="L94" i="11"/>
  <c r="AK20" i="23"/>
  <c r="BF20" i="23" s="1"/>
  <c r="L55" i="11"/>
  <c r="M61" i="11" l="1"/>
  <c r="M83" i="11"/>
  <c r="M63" i="11"/>
  <c r="M69" i="11"/>
  <c r="M55" i="11"/>
  <c r="M73" i="11"/>
  <c r="M50" i="11"/>
  <c r="M58" i="11"/>
  <c r="AD12" i="23"/>
  <c r="AS9" i="23" s="1"/>
  <c r="AJ28" i="23"/>
  <c r="AH24" i="23"/>
  <c r="AX87" i="23" s="1"/>
  <c r="M70" i="11"/>
  <c r="M56" i="11"/>
  <c r="M85" i="11"/>
  <c r="M60" i="11"/>
  <c r="M75" i="11"/>
  <c r="M68" i="11"/>
  <c r="M74" i="11"/>
  <c r="AD32" i="23"/>
  <c r="M87" i="11"/>
  <c r="M86" i="11"/>
  <c r="AJ30" i="23"/>
  <c r="BF86" i="23" s="1"/>
  <c r="AH23" i="23"/>
  <c r="M67" i="11"/>
  <c r="U49" i="11"/>
  <c r="K49" i="11"/>
  <c r="M76" i="11"/>
  <c r="AF22" i="23"/>
  <c r="AZ72" i="23" s="1"/>
  <c r="M80" i="11"/>
  <c r="M62" i="11"/>
  <c r="M84" i="11"/>
  <c r="AE22" i="23"/>
  <c r="AU74" i="23" s="1"/>
  <c r="CA12" i="23"/>
  <c r="M78" i="11"/>
  <c r="AG22" i="23"/>
  <c r="AX72" i="23" s="1"/>
  <c r="AH25" i="23"/>
  <c r="AU87" i="23" s="1"/>
  <c r="M71" i="11"/>
  <c r="M65" i="11"/>
  <c r="X72" i="11"/>
  <c r="AG34" i="23"/>
  <c r="AV158" i="23" s="1"/>
  <c r="AT153" i="23"/>
  <c r="X65" i="11"/>
  <c r="X94" i="11"/>
  <c r="X76" i="11"/>
  <c r="X84" i="11"/>
  <c r="X64" i="11"/>
  <c r="X67" i="11"/>
  <c r="G31" i="23"/>
  <c r="AZ174" i="23" s="1"/>
  <c r="AD46" i="23"/>
  <c r="X61" i="11"/>
  <c r="X73" i="11"/>
  <c r="X60" i="11"/>
  <c r="X82" i="11"/>
  <c r="X81" i="11"/>
  <c r="X55" i="11"/>
  <c r="AM35" i="23"/>
  <c r="AT161" i="23" s="1"/>
  <c r="X70" i="11"/>
  <c r="X87" i="11"/>
  <c r="X50" i="11"/>
  <c r="X56" i="11"/>
  <c r="X78" i="11"/>
  <c r="AE34" i="23"/>
  <c r="AS157" i="23" s="1"/>
  <c r="X66" i="11"/>
  <c r="X79" i="11"/>
  <c r="X62" i="11"/>
  <c r="X86" i="11"/>
  <c r="AM34" i="23"/>
  <c r="X59" i="11"/>
  <c r="X71" i="11"/>
  <c r="S60" i="11"/>
  <c r="AK28" i="23"/>
  <c r="S86" i="11"/>
  <c r="S71" i="11"/>
  <c r="S68" i="11"/>
  <c r="S59" i="11"/>
  <c r="S62" i="11"/>
  <c r="S75" i="11"/>
  <c r="S83" i="11"/>
  <c r="N57" i="11"/>
  <c r="N69" i="11"/>
  <c r="N50" i="11"/>
  <c r="N63" i="11"/>
  <c r="AE23" i="23"/>
  <c r="AS88" i="23" s="1"/>
  <c r="N56" i="11"/>
  <c r="N81" i="11"/>
  <c r="N55" i="11"/>
  <c r="N58" i="11"/>
  <c r="N77" i="11"/>
  <c r="N59" i="11"/>
  <c r="N78" i="11"/>
  <c r="N71" i="11"/>
  <c r="CB12" i="23"/>
  <c r="N79" i="11"/>
  <c r="AI23" i="23"/>
  <c r="N64" i="11"/>
  <c r="AD24" i="23"/>
  <c r="N74" i="11"/>
  <c r="N85" i="11"/>
  <c r="N66" i="11"/>
  <c r="N62" i="11"/>
  <c r="N67" i="11"/>
  <c r="N61" i="11"/>
  <c r="N75" i="11"/>
  <c r="E15" i="23"/>
  <c r="E17" i="23" s="1"/>
  <c r="N84" i="11"/>
  <c r="AG23" i="23"/>
  <c r="BA91" i="23" s="1"/>
  <c r="N60" i="11"/>
  <c r="N87" i="11"/>
  <c r="T77" i="11"/>
  <c r="T69" i="11"/>
  <c r="T63" i="11"/>
  <c r="T86" i="11"/>
  <c r="T70" i="11"/>
  <c r="T85" i="11"/>
  <c r="T60" i="11"/>
  <c r="T67" i="11"/>
  <c r="T75" i="11"/>
  <c r="T66" i="11"/>
  <c r="T62" i="11"/>
  <c r="T73" i="11"/>
  <c r="T64" i="11"/>
  <c r="T82" i="11"/>
  <c r="CH12" i="23"/>
  <c r="T84" i="11"/>
  <c r="AG29" i="23"/>
  <c r="BH91" i="23" s="1"/>
  <c r="T61" i="11"/>
  <c r="T50" i="11"/>
  <c r="AL29" i="23"/>
  <c r="AL23" i="23" s="1"/>
  <c r="BB87" i="23" s="1"/>
  <c r="T76" i="11"/>
  <c r="T74" i="11"/>
  <c r="T68" i="11"/>
  <c r="T78" i="11"/>
  <c r="T56" i="11"/>
  <c r="T87" i="11"/>
  <c r="AK29" i="23"/>
  <c r="BH84" i="23" s="1"/>
  <c r="T72" i="11"/>
  <c r="T59" i="11"/>
  <c r="T65" i="11"/>
  <c r="O62" i="11"/>
  <c r="O69" i="11"/>
  <c r="O71" i="11"/>
  <c r="O86" i="11"/>
  <c r="O83" i="11"/>
  <c r="O56" i="11"/>
  <c r="O84" i="11"/>
  <c r="AD23" i="23"/>
  <c r="O78" i="11"/>
  <c r="O85" i="11"/>
  <c r="O94" i="11"/>
  <c r="O82" i="11"/>
  <c r="O72" i="11"/>
  <c r="AM26" i="23"/>
  <c r="AY98" i="23" s="1"/>
  <c r="O63" i="11"/>
  <c r="O87" i="11"/>
  <c r="O74" i="11"/>
  <c r="O80" i="11"/>
  <c r="AE24" i="23"/>
  <c r="AS89" i="23" s="1"/>
  <c r="O60" i="11"/>
  <c r="AG24" i="23"/>
  <c r="AX95" i="23" s="1"/>
  <c r="CC12" i="23"/>
  <c r="O61" i="11"/>
  <c r="O76" i="11"/>
  <c r="O55" i="11"/>
  <c r="O79" i="11"/>
  <c r="AI24" i="23"/>
  <c r="O57" i="11"/>
  <c r="O50" i="11"/>
  <c r="O46" i="11"/>
  <c r="O68" i="11"/>
  <c r="O67" i="11"/>
  <c r="S65" i="11"/>
  <c r="S58" i="11"/>
  <c r="S80" i="11"/>
  <c r="S55" i="11"/>
  <c r="N86" i="11"/>
  <c r="T94" i="11"/>
  <c r="T81" i="11"/>
  <c r="Q86" i="11"/>
  <c r="Q94" i="11"/>
  <c r="AB83" i="11"/>
  <c r="AB57" i="11"/>
  <c r="E19" i="23"/>
  <c r="O64" i="11"/>
  <c r="O77" i="11"/>
  <c r="M72" i="11"/>
  <c r="M79" i="11"/>
  <c r="M46" i="11"/>
  <c r="X85" i="11"/>
  <c r="X74" i="11"/>
  <c r="AD33" i="23"/>
  <c r="AB65" i="11"/>
  <c r="AG39" i="23"/>
  <c r="BB152" i="23" s="1"/>
  <c r="AB56" i="11"/>
  <c r="AB67" i="11"/>
  <c r="AB94" i="11"/>
  <c r="AB58" i="11"/>
  <c r="AB77" i="11"/>
  <c r="AB81" i="11"/>
  <c r="AB68" i="11"/>
  <c r="AB76" i="11"/>
  <c r="AZ155" i="23"/>
  <c r="AB62" i="11"/>
  <c r="AB82" i="11"/>
  <c r="AB50" i="11"/>
  <c r="AB51" i="11" s="1"/>
  <c r="V27" i="23" s="1"/>
  <c r="AB64" i="11"/>
  <c r="AB86" i="11"/>
  <c r="AC46" i="11"/>
  <c r="AB66" i="11"/>
  <c r="AB73" i="11"/>
  <c r="BA145" i="23"/>
  <c r="AB55" i="11"/>
  <c r="AB85" i="11"/>
  <c r="AB61" i="11"/>
  <c r="AB87" i="11"/>
  <c r="AE39" i="23"/>
  <c r="AY147" i="23" s="1"/>
  <c r="AB63" i="11"/>
  <c r="AB71" i="11"/>
  <c r="CP12" i="23"/>
  <c r="AB74" i="11"/>
  <c r="AB84" i="11"/>
  <c r="AB60" i="11"/>
  <c r="AB75" i="11"/>
  <c r="I27" i="23"/>
  <c r="S69" i="11"/>
  <c r="AG28" i="23"/>
  <c r="BD91" i="23" s="1"/>
  <c r="N83" i="11"/>
  <c r="T83" i="11"/>
  <c r="S67" i="11"/>
  <c r="S82" i="11"/>
  <c r="S61" i="11"/>
  <c r="S46" i="11"/>
  <c r="N80" i="11"/>
  <c r="N94" i="11"/>
  <c r="R49" i="11"/>
  <c r="E43" i="23"/>
  <c r="T58" i="11"/>
  <c r="T57" i="11"/>
  <c r="Q50" i="11"/>
  <c r="Q59" i="11"/>
  <c r="AB59" i="11"/>
  <c r="AB80" i="11"/>
  <c r="AB70" i="11"/>
  <c r="O65" i="11"/>
  <c r="O81" i="11"/>
  <c r="O73" i="11"/>
  <c r="M66" i="11"/>
  <c r="M57" i="11"/>
  <c r="M77" i="11"/>
  <c r="X83" i="11"/>
  <c r="X58" i="11"/>
  <c r="Q76" i="11"/>
  <c r="Q75" i="11"/>
  <c r="Q57" i="11"/>
  <c r="Q73" i="11"/>
  <c r="AN24" i="23"/>
  <c r="Q67" i="11"/>
  <c r="AG26" i="23"/>
  <c r="AX99" i="23" s="1"/>
  <c r="Q56" i="11"/>
  <c r="Q83" i="11"/>
  <c r="E23" i="23"/>
  <c r="E25" i="23" s="1"/>
  <c r="Q55" i="11"/>
  <c r="Q66" i="11"/>
  <c r="Q85" i="11"/>
  <c r="Q63" i="11"/>
  <c r="Q79" i="11"/>
  <c r="Q70" i="11"/>
  <c r="Q84" i="11"/>
  <c r="Q77" i="11"/>
  <c r="Q60" i="11"/>
  <c r="Q74" i="11"/>
  <c r="Q46" i="11"/>
  <c r="Q61" i="11"/>
  <c r="Q71" i="11"/>
  <c r="Q49" i="11"/>
  <c r="Q65" i="11"/>
  <c r="Q87" i="11"/>
  <c r="Q58" i="11"/>
  <c r="Q78" i="11"/>
  <c r="AN26" i="23"/>
  <c r="AY96" i="23" s="1"/>
  <c r="Q72" i="11"/>
  <c r="Q69" i="11"/>
  <c r="L49" i="11"/>
  <c r="S50" i="11"/>
  <c r="S66" i="11"/>
  <c r="S85" i="11"/>
  <c r="E39" i="23"/>
  <c r="S56" i="11"/>
  <c r="S94" i="11"/>
  <c r="S77" i="11"/>
  <c r="S64" i="11"/>
  <c r="S57" i="11"/>
  <c r="S81" i="11"/>
  <c r="S73" i="11"/>
  <c r="S72" i="11"/>
  <c r="S74" i="11"/>
  <c r="N72" i="11"/>
  <c r="N70" i="11"/>
  <c r="N73" i="11"/>
  <c r="T55" i="11"/>
  <c r="T79" i="11"/>
  <c r="Q62" i="11"/>
  <c r="Q82" i="11"/>
  <c r="Q64" i="11"/>
  <c r="AD40" i="23"/>
  <c r="AO40" i="23" s="1"/>
  <c r="AB72" i="11"/>
  <c r="O59" i="11"/>
  <c r="O75" i="11"/>
  <c r="AJ29" i="23"/>
  <c r="BH86" i="23" s="1"/>
  <c r="M81" i="11"/>
  <c r="E11" i="23"/>
  <c r="X77" i="11"/>
  <c r="X68" i="11"/>
  <c r="X69" i="11"/>
  <c r="J46" i="11"/>
  <c r="J85" i="11"/>
  <c r="J79" i="11"/>
  <c r="J84" i="11"/>
  <c r="J66" i="11"/>
  <c r="H65" i="11"/>
  <c r="H66" i="11"/>
  <c r="H56" i="11"/>
  <c r="H85" i="11"/>
  <c r="H50" i="11"/>
  <c r="AF16" i="23" s="1"/>
  <c r="AX47" i="23" s="1"/>
  <c r="H72" i="11"/>
  <c r="H71" i="11"/>
  <c r="C23" i="23"/>
  <c r="H77" i="11"/>
  <c r="AN16" i="23"/>
  <c r="AY32" i="23" s="1"/>
  <c r="H81" i="11"/>
  <c r="AG16" i="23"/>
  <c r="AX35" i="23" s="1"/>
  <c r="H69" i="11"/>
  <c r="H49" i="11"/>
  <c r="H48" i="11" s="1"/>
  <c r="H73" i="11"/>
  <c r="H79" i="11"/>
  <c r="H75" i="11"/>
  <c r="H46" i="11"/>
  <c r="H64" i="11"/>
  <c r="H70" i="11"/>
  <c r="H62" i="11"/>
  <c r="H58" i="11"/>
  <c r="H87" i="11"/>
  <c r="H82" i="11"/>
  <c r="H80" i="11"/>
  <c r="BV12" i="23"/>
  <c r="H74" i="11"/>
  <c r="H57" i="11"/>
  <c r="H60" i="11"/>
  <c r="H55" i="11"/>
  <c r="D75" i="11"/>
  <c r="D60" i="11"/>
  <c r="D70" i="11"/>
  <c r="D80" i="11"/>
  <c r="D86" i="11"/>
  <c r="D50" i="11"/>
  <c r="D69" i="11"/>
  <c r="AE12" i="23"/>
  <c r="AU10" i="23" s="1"/>
  <c r="AG12" i="23"/>
  <c r="AX8" i="23" s="1"/>
  <c r="AH13" i="23"/>
  <c r="D61" i="11"/>
  <c r="D58" i="11"/>
  <c r="G58" i="11" s="1"/>
  <c r="G93" i="11" s="1"/>
  <c r="M49" i="11"/>
  <c r="D79" i="11"/>
  <c r="D76" i="11"/>
  <c r="D49" i="11"/>
  <c r="D59" i="11"/>
  <c r="D46" i="11"/>
  <c r="D67" i="11"/>
  <c r="C45" i="11"/>
  <c r="G8" i="20" s="1"/>
  <c r="AJ18" i="23"/>
  <c r="D62" i="11"/>
  <c r="G49" i="11"/>
  <c r="O49" i="11"/>
  <c r="O48" i="11" s="1"/>
  <c r="D83" i="11"/>
  <c r="C11" i="23"/>
  <c r="D82" i="11"/>
  <c r="D84" i="11"/>
  <c r="D71" i="11"/>
  <c r="AH14" i="23"/>
  <c r="AX23" i="23" s="1"/>
  <c r="D57" i="11"/>
  <c r="X49" i="11"/>
  <c r="AB49" i="11"/>
  <c r="AB48" i="11" s="1"/>
  <c r="AC49" i="11"/>
  <c r="AI49" i="11"/>
  <c r="AI48" i="11" s="1"/>
  <c r="D72" i="11"/>
  <c r="BR12" i="23"/>
  <c r="D64" i="11"/>
  <c r="D87" i="11"/>
  <c r="D74" i="11"/>
  <c r="D94" i="11"/>
  <c r="AH15" i="23"/>
  <c r="AU23" i="23" s="1"/>
  <c r="Y49" i="11"/>
  <c r="E49" i="11"/>
  <c r="E48" i="11" s="1"/>
  <c r="W57" i="11"/>
  <c r="W70" i="11"/>
  <c r="AE33" i="23"/>
  <c r="AS147" i="23" s="1"/>
  <c r="W56" i="11"/>
  <c r="W77" i="11"/>
  <c r="G27" i="23"/>
  <c r="W58" i="11"/>
  <c r="W83" i="11"/>
  <c r="W72" i="11"/>
  <c r="W55" i="11"/>
  <c r="W69" i="11"/>
  <c r="W81" i="11"/>
  <c r="Z84" i="11"/>
  <c r="G47" i="23"/>
  <c r="Z57" i="11"/>
  <c r="Z69" i="11"/>
  <c r="AX144" i="23"/>
  <c r="Z76" i="11"/>
  <c r="Z63" i="11"/>
  <c r="Z66" i="11"/>
  <c r="Z64" i="11"/>
  <c r="AL36" i="23"/>
  <c r="AL33" i="23" s="1"/>
  <c r="AV147" i="23" s="1"/>
  <c r="V59" i="11"/>
  <c r="V69" i="11"/>
  <c r="V86" i="11"/>
  <c r="V85" i="11"/>
  <c r="V49" i="11"/>
  <c r="V84" i="11"/>
  <c r="AE32" i="23"/>
  <c r="AS136" i="23" s="1"/>
  <c r="V60" i="11"/>
  <c r="G11" i="23"/>
  <c r="V46" i="11"/>
  <c r="V48" i="11" s="1"/>
  <c r="V94" i="11"/>
  <c r="V77" i="11"/>
  <c r="AA63" i="11"/>
  <c r="AA70" i="11"/>
  <c r="AA57" i="11"/>
  <c r="AA85" i="11"/>
  <c r="AA49" i="11"/>
  <c r="AA48" i="11" s="1"/>
  <c r="AA80" i="11"/>
  <c r="AA50" i="11"/>
  <c r="P11" i="23" s="1"/>
  <c r="AA61" i="11"/>
  <c r="AF38" i="23"/>
  <c r="BA136" i="23" s="1"/>
  <c r="AA62" i="11"/>
  <c r="AA83" i="11"/>
  <c r="AA71" i="11"/>
  <c r="AA56" i="11"/>
  <c r="AA65" i="11"/>
  <c r="AA64" i="11"/>
  <c r="I11" i="23"/>
  <c r="AA94" i="11"/>
  <c r="AA79" i="11"/>
  <c r="AD60" i="11"/>
  <c r="AN41" i="23"/>
  <c r="AD61" i="11"/>
  <c r="AD74" i="11"/>
  <c r="I35" i="23"/>
  <c r="BA175" i="23" s="1"/>
  <c r="AD64" i="11"/>
  <c r="AD67" i="11"/>
  <c r="AD46" i="11"/>
  <c r="AD76" i="11"/>
  <c r="AD79" i="11"/>
  <c r="AD57" i="11"/>
  <c r="AD94" i="11"/>
  <c r="AD63" i="11"/>
  <c r="AD71" i="11"/>
  <c r="AD56" i="11"/>
  <c r="AD73" i="11"/>
  <c r="AD58" i="11"/>
  <c r="AD83" i="11"/>
  <c r="AD62" i="11"/>
  <c r="AD86" i="11"/>
  <c r="AD68" i="11"/>
  <c r="AD50" i="11"/>
  <c r="AD72" i="11"/>
  <c r="AD87" i="11"/>
  <c r="AD65" i="11"/>
  <c r="U63" i="11"/>
  <c r="U83" i="11"/>
  <c r="U58" i="11"/>
  <c r="U77" i="11"/>
  <c r="U81" i="11"/>
  <c r="U71" i="11"/>
  <c r="U70" i="11"/>
  <c r="U55" i="11"/>
  <c r="U78" i="11"/>
  <c r="AL30" i="23"/>
  <c r="U67" i="11"/>
  <c r="AG30" i="23"/>
  <c r="BF91" i="23" s="1"/>
  <c r="U84" i="11"/>
  <c r="AK30" i="23"/>
  <c r="BF84" i="23" s="1"/>
  <c r="U82" i="11"/>
  <c r="U46" i="11"/>
  <c r="U48" i="11" s="1"/>
  <c r="U74" i="11"/>
  <c r="U94" i="11"/>
  <c r="U57" i="11"/>
  <c r="U86" i="11"/>
  <c r="U50" i="11"/>
  <c r="U64" i="11"/>
  <c r="U61" i="11"/>
  <c r="CI12" i="23"/>
  <c r="U80" i="11"/>
  <c r="U60" i="11"/>
  <c r="U85" i="11"/>
  <c r="U73" i="11"/>
  <c r="U76" i="11"/>
  <c r="U65" i="11"/>
  <c r="W76" i="11"/>
  <c r="W86" i="11"/>
  <c r="W50" i="11"/>
  <c r="W67" i="11"/>
  <c r="W46" i="11"/>
  <c r="W48" i="11" s="1"/>
  <c r="W84" i="11"/>
  <c r="AU145" i="23"/>
  <c r="W75" i="11"/>
  <c r="W63" i="11"/>
  <c r="N49" i="11"/>
  <c r="N48" i="11" s="1"/>
  <c r="Z74" i="11"/>
  <c r="Z86" i="11"/>
  <c r="Z61" i="11"/>
  <c r="Z70" i="11"/>
  <c r="Z55" i="11"/>
  <c r="AK36" i="23"/>
  <c r="AK32" i="23" s="1"/>
  <c r="Z59" i="11"/>
  <c r="Z67" i="11"/>
  <c r="V74" i="11"/>
  <c r="CJ12" i="23"/>
  <c r="AD38" i="23"/>
  <c r="AZ136" i="23" s="1"/>
  <c r="V57" i="11"/>
  <c r="V76" i="11"/>
  <c r="V56" i="11"/>
  <c r="V65" i="11"/>
  <c r="V55" i="11"/>
  <c r="V61" i="11"/>
  <c r="AG38" i="23"/>
  <c r="BA141" i="23" s="1"/>
  <c r="AA76" i="11"/>
  <c r="AA87" i="11"/>
  <c r="AE38" i="23"/>
  <c r="AY136" i="23" s="1"/>
  <c r="AA66" i="11"/>
  <c r="AA68" i="11"/>
  <c r="AG49" i="11"/>
  <c r="AG48" i="11" s="1"/>
  <c r="AZ159" i="23"/>
  <c r="AD69" i="11"/>
  <c r="AD84" i="11"/>
  <c r="AD80" i="11"/>
  <c r="AD78" i="11"/>
  <c r="U87" i="11"/>
  <c r="U59" i="11"/>
  <c r="U56" i="11"/>
  <c r="AJ49" i="11"/>
  <c r="AJ48" i="11" s="1"/>
  <c r="AN14" i="23"/>
  <c r="H67" i="11"/>
  <c r="H68" i="11"/>
  <c r="J49" i="11"/>
  <c r="D63" i="11"/>
  <c r="D77" i="11"/>
  <c r="D65" i="11"/>
  <c r="D73" i="11"/>
  <c r="S49" i="11"/>
  <c r="F49" i="11"/>
  <c r="F48" i="11" s="1"/>
  <c r="W49" i="11"/>
  <c r="W73" i="11"/>
  <c r="W59" i="11"/>
  <c r="W68" i="11"/>
  <c r="W65" i="11"/>
  <c r="AD45" i="23"/>
  <c r="W66" i="11"/>
  <c r="X46" i="11"/>
  <c r="W79" i="11"/>
  <c r="AF49" i="11"/>
  <c r="Z94" i="11"/>
  <c r="Z85" i="11"/>
  <c r="CN12" i="23"/>
  <c r="Z81" i="11"/>
  <c r="Z87" i="11"/>
  <c r="Z72" i="11"/>
  <c r="Z46" i="11"/>
  <c r="Z71" i="11"/>
  <c r="AJ36" i="23"/>
  <c r="AJ32" i="23" s="1"/>
  <c r="V70" i="11"/>
  <c r="V81" i="11"/>
  <c r="V78" i="11"/>
  <c r="V71" i="11"/>
  <c r="V50" i="11"/>
  <c r="O11" i="23" s="1"/>
  <c r="V79" i="11"/>
  <c r="V80" i="11"/>
  <c r="I49" i="11"/>
  <c r="I48" i="11" s="1"/>
  <c r="AA82" i="11"/>
  <c r="CO12" i="23"/>
  <c r="AA84" i="11"/>
  <c r="AA73" i="11"/>
  <c r="AA74" i="11"/>
  <c r="AA55" i="11"/>
  <c r="AA59" i="11"/>
  <c r="AG41" i="23"/>
  <c r="BA164" i="23" s="1"/>
  <c r="AD55" i="11"/>
  <c r="AD59" i="11"/>
  <c r="CR12" i="23"/>
  <c r="E47" i="23"/>
  <c r="E48" i="23" s="1"/>
  <c r="U68" i="11"/>
  <c r="Q68" i="11" s="1"/>
  <c r="Q93" i="11" s="1"/>
  <c r="H61" i="11"/>
  <c r="H94" i="11"/>
  <c r="H63" i="11"/>
  <c r="AJ20" i="23"/>
  <c r="BF22" i="23" s="1"/>
  <c r="D68" i="11"/>
  <c r="D81" i="11"/>
  <c r="AD34" i="23"/>
  <c r="AT157" i="23" s="1"/>
  <c r="AD25" i="23"/>
  <c r="AU90" i="23" s="1"/>
  <c r="AT155" i="23"/>
  <c r="W85" i="11"/>
  <c r="W82" i="11"/>
  <c r="AD39" i="23"/>
  <c r="AO39" i="23" s="1"/>
  <c r="W61" i="11"/>
  <c r="AG33" i="23"/>
  <c r="AV152" i="23" s="1"/>
  <c r="W64" i="11"/>
  <c r="Z49" i="11"/>
  <c r="Z48" i="11" s="1"/>
  <c r="Z80" i="11"/>
  <c r="AG36" i="23"/>
  <c r="AX151" i="23" s="1"/>
  <c r="Z65" i="11"/>
  <c r="Z50" i="11"/>
  <c r="Z51" i="11" s="1"/>
  <c r="U47" i="23" s="1"/>
  <c r="Z73" i="11"/>
  <c r="Z79" i="11"/>
  <c r="Z60" i="11"/>
  <c r="T49" i="11"/>
  <c r="T48" i="11" s="1"/>
  <c r="AH33" i="23"/>
  <c r="AH32" i="23" s="1"/>
  <c r="V87" i="11"/>
  <c r="V75" i="11"/>
  <c r="V58" i="11"/>
  <c r="V67" i="11"/>
  <c r="V83" i="11"/>
  <c r="V66" i="11"/>
  <c r="V63" i="11"/>
  <c r="AJ42" i="23"/>
  <c r="AJ38" i="23" s="1"/>
  <c r="AA75" i="11"/>
  <c r="AA58" i="11"/>
  <c r="AA67" i="11"/>
  <c r="AA86" i="11"/>
  <c r="AA69" i="11"/>
  <c r="AH49" i="11"/>
  <c r="AD77" i="11"/>
  <c r="AD82" i="11"/>
  <c r="AD49" i="11"/>
  <c r="AN40" i="23"/>
  <c r="U66" i="11"/>
  <c r="U75" i="11"/>
  <c r="U69" i="11"/>
  <c r="H76" i="11"/>
  <c r="H78" i="11"/>
  <c r="H83" i="11"/>
  <c r="AJ19" i="23"/>
  <c r="AD22" i="23"/>
  <c r="D85" i="11"/>
  <c r="Y61" i="11"/>
  <c r="Y82" i="11"/>
  <c r="Y77" i="11"/>
  <c r="Y67" i="11"/>
  <c r="Y83" i="11"/>
  <c r="Y46" i="11"/>
  <c r="Y56" i="11"/>
  <c r="Y84" i="11"/>
  <c r="Y58" i="11"/>
  <c r="Y78" i="11"/>
  <c r="G35" i="23"/>
  <c r="AZ175" i="23" s="1"/>
  <c r="Y73" i="11"/>
  <c r="AN34" i="23"/>
  <c r="Y75" i="11"/>
  <c r="Y85" i="11"/>
  <c r="Y69" i="11"/>
  <c r="AG35" i="23"/>
  <c r="AU164" i="23" s="1"/>
  <c r="Y71" i="11"/>
  <c r="Y81" i="11"/>
  <c r="AG46" i="11"/>
  <c r="AH46" i="11"/>
  <c r="AH65" i="11"/>
  <c r="AH73" i="11"/>
  <c r="BF153" i="23"/>
  <c r="AH74" i="11"/>
  <c r="AM46" i="23"/>
  <c r="AH63" i="11"/>
  <c r="AH94" i="11"/>
  <c r="AH86" i="11"/>
  <c r="AH76" i="11"/>
  <c r="AH81" i="11"/>
  <c r="E76" i="11"/>
  <c r="E67" i="11"/>
  <c r="C15" i="23"/>
  <c r="E59" i="11"/>
  <c r="E87" i="11"/>
  <c r="E84" i="11"/>
  <c r="E61" i="11"/>
  <c r="E55" i="11"/>
  <c r="E70" i="11"/>
  <c r="AI13" i="23"/>
  <c r="AI12" i="23" s="1"/>
  <c r="AE60" i="11"/>
  <c r="AE68" i="11"/>
  <c r="AE64" i="11"/>
  <c r="AE85" i="11"/>
  <c r="AE49" i="11"/>
  <c r="AE84" i="11"/>
  <c r="AE86" i="11"/>
  <c r="AE66" i="11"/>
  <c r="AE69" i="11"/>
  <c r="AL42" i="23"/>
  <c r="AL39" i="23" s="1"/>
  <c r="BB147" i="23" s="1"/>
  <c r="AE63" i="11"/>
  <c r="I47" i="23"/>
  <c r="BA176" i="23" s="1"/>
  <c r="AE71" i="11"/>
  <c r="AK42" i="23"/>
  <c r="AK38" i="23" s="1"/>
  <c r="AE73" i="11"/>
  <c r="AE46" i="11"/>
  <c r="AE56" i="11"/>
  <c r="CS12" i="23"/>
  <c r="L57" i="11"/>
  <c r="L56" i="11"/>
  <c r="L85" i="11"/>
  <c r="L76" i="11"/>
  <c r="L79" i="11"/>
  <c r="L59" i="11"/>
  <c r="L50" i="11"/>
  <c r="L84" i="11"/>
  <c r="L67" i="11"/>
  <c r="K56" i="11"/>
  <c r="K85" i="11"/>
  <c r="K82" i="11"/>
  <c r="K80" i="11"/>
  <c r="K60" i="11"/>
  <c r="K75" i="11"/>
  <c r="K73" i="11"/>
  <c r="K50" i="11"/>
  <c r="M43" i="23" s="1"/>
  <c r="AZ58" i="23" s="1"/>
  <c r="K64" i="11"/>
  <c r="R46" i="11"/>
  <c r="R79" i="11"/>
  <c r="R74" i="11"/>
  <c r="R76" i="11"/>
  <c r="R72" i="11"/>
  <c r="R56" i="11"/>
  <c r="R94" i="11"/>
  <c r="R82" i="11"/>
  <c r="AG27" i="23"/>
  <c r="AU108" i="23" s="1"/>
  <c r="R67" i="11"/>
  <c r="I82" i="11"/>
  <c r="I65" i="11"/>
  <c r="I78" i="11"/>
  <c r="I59" i="11"/>
  <c r="I72" i="11"/>
  <c r="AG17" i="23"/>
  <c r="AU44" i="23" s="1"/>
  <c r="I58" i="11"/>
  <c r="I50" i="11"/>
  <c r="AF17" i="23" s="1"/>
  <c r="AV47" i="23" s="1"/>
  <c r="I79" i="11"/>
  <c r="AB79" i="11" s="1"/>
  <c r="AB92" i="11" s="1"/>
  <c r="AH77" i="11"/>
  <c r="AH60" i="11"/>
  <c r="AH72" i="11"/>
  <c r="AH57" i="11"/>
  <c r="AH68" i="11"/>
  <c r="AH55" i="11"/>
  <c r="AH62" i="11"/>
  <c r="AH59" i="11"/>
  <c r="E57" i="11"/>
  <c r="AE13" i="23"/>
  <c r="AS24" i="23" s="1"/>
  <c r="E65" i="11"/>
  <c r="E73" i="11"/>
  <c r="E69" i="11"/>
  <c r="E66" i="11"/>
  <c r="E63" i="11"/>
  <c r="AE87" i="11"/>
  <c r="AE55" i="11"/>
  <c r="AE65" i="11"/>
  <c r="AE72" i="11"/>
  <c r="AE50" i="11"/>
  <c r="AE51" i="11" s="1"/>
  <c r="V47" i="23" s="1"/>
  <c r="AE58" i="11"/>
  <c r="Y62" i="11"/>
  <c r="Y87" i="11"/>
  <c r="Y57" i="11"/>
  <c r="Y68" i="11"/>
  <c r="Y66" i="11"/>
  <c r="G75" i="11"/>
  <c r="G82" i="11"/>
  <c r="AM17" i="23"/>
  <c r="G60" i="11"/>
  <c r="G78" i="11"/>
  <c r="G46" i="11"/>
  <c r="G86" i="11"/>
  <c r="AE15" i="23"/>
  <c r="AS26" i="23" s="1"/>
  <c r="G71" i="11"/>
  <c r="G77" i="11"/>
  <c r="AM15" i="23"/>
  <c r="AO15" i="23" s="1"/>
  <c r="J58" i="11"/>
  <c r="J63" i="11"/>
  <c r="J81" i="11"/>
  <c r="J78" i="11"/>
  <c r="J87" i="11"/>
  <c r="J83" i="11"/>
  <c r="J50" i="11"/>
  <c r="AF18" i="23" s="1"/>
  <c r="BD47" i="23" s="1"/>
  <c r="J75" i="11"/>
  <c r="AG18" i="23"/>
  <c r="BD27" i="23" s="1"/>
  <c r="AL18" i="23"/>
  <c r="AL14" i="23" s="1"/>
  <c r="AY23" i="23" s="1"/>
  <c r="P60" i="11"/>
  <c r="P86" i="11"/>
  <c r="P74" i="11"/>
  <c r="P62" i="11"/>
  <c r="P65" i="11"/>
  <c r="AG25" i="23"/>
  <c r="AU97" i="23" s="1"/>
  <c r="P72" i="11"/>
  <c r="AM27" i="23"/>
  <c r="P49" i="11"/>
  <c r="P48" i="11" s="1"/>
  <c r="P61" i="11"/>
  <c r="Q48" i="11"/>
  <c r="AE48" i="11"/>
  <c r="S48" i="11"/>
  <c r="R48" i="11"/>
  <c r="AD48" i="11"/>
  <c r="Y48" i="11"/>
  <c r="L48" i="11"/>
  <c r="AF48" i="11"/>
  <c r="K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C21" i="23"/>
  <c r="C20" i="23"/>
  <c r="AE14" i="23"/>
  <c r="AS25" i="23" s="1"/>
  <c r="F51" i="11"/>
  <c r="S19" i="23" s="1"/>
  <c r="M19" i="23"/>
  <c r="BG147" i="23"/>
  <c r="AH44" i="23"/>
  <c r="E36" i="23"/>
  <c r="E37" i="23"/>
  <c r="V51" i="11"/>
  <c r="U11" i="23" s="1"/>
  <c r="AA51" i="11"/>
  <c r="V11" i="23" s="1"/>
  <c r="AG51" i="11"/>
  <c r="W27" i="23" s="1"/>
  <c r="Q27" i="23"/>
  <c r="Q28" i="23" s="1"/>
  <c r="Q29" i="23" s="1"/>
  <c r="I37" i="23"/>
  <c r="C17" i="23"/>
  <c r="C16" i="23"/>
  <c r="E21" i="23"/>
  <c r="E20" i="23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H51" i="11"/>
  <c r="S23" i="23" s="1"/>
  <c r="G37" i="23"/>
  <c r="G36" i="23"/>
  <c r="AL13" i="23"/>
  <c r="BB23" i="23" s="1"/>
  <c r="J51" i="11"/>
  <c r="S39" i="23" s="1"/>
  <c r="BA23" i="23"/>
  <c r="AH12" i="23"/>
  <c r="D51" i="11"/>
  <c r="S11" i="23" s="1"/>
  <c r="M11" i="23"/>
  <c r="I60" i="11"/>
  <c r="I92" i="11" s="1"/>
  <c r="AY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E44" i="23"/>
  <c r="E45" i="23"/>
  <c r="K36" i="23"/>
  <c r="K37" i="23"/>
  <c r="BB175" i="23"/>
  <c r="AX146" i="23"/>
  <c r="BA174" i="23"/>
  <c r="I33" i="23"/>
  <c r="I32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9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K12" i="23"/>
  <c r="BD20" i="23"/>
  <c r="J48" i="11"/>
  <c r="G11" i="20"/>
  <c r="AS73" i="23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C36" i="23"/>
  <c r="C37" i="23"/>
  <c r="AC51" i="11"/>
  <c r="V31" i="23" s="1"/>
  <c r="P31" i="23"/>
  <c r="P32" i="23" s="1"/>
  <c r="P33" i="23" s="1"/>
  <c r="AH38" i="23"/>
  <c r="BA147" i="23"/>
  <c r="N27" i="23"/>
  <c r="P51" i="11"/>
  <c r="T27" i="23" s="1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G33" i="23"/>
  <c r="BF21" i="23"/>
  <c r="BH22" i="23"/>
  <c r="D48" i="11"/>
  <c r="C48" i="11" s="1"/>
  <c r="O27" i="23"/>
  <c r="O28" i="23" s="1"/>
  <c r="O29" i="23" s="1"/>
  <c r="W51" i="11"/>
  <c r="U27" i="23" s="1"/>
  <c r="AZ172" i="23"/>
  <c r="G12" i="23"/>
  <c r="G13" i="23"/>
  <c r="M37" i="23"/>
  <c r="M36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BB174" i="23"/>
  <c r="K32" i="23"/>
  <c r="P27" i="23"/>
  <c r="P28" i="23" s="1"/>
  <c r="P29" i="23" s="1"/>
  <c r="K29" i="23"/>
  <c r="K28" i="23"/>
  <c r="BB173" i="23"/>
  <c r="AO46" i="23"/>
  <c r="BF157" i="23"/>
  <c r="E51" i="11"/>
  <c r="S15" i="23" s="1"/>
  <c r="M15" i="23"/>
  <c r="AD14" i="23"/>
  <c r="AT147" i="23"/>
  <c r="P47" i="23"/>
  <c r="E13" i="23"/>
  <c r="E12" i="23"/>
  <c r="C40" i="23"/>
  <c r="C41" i="23"/>
  <c r="BD22" i="23"/>
  <c r="AZ8" i="23"/>
  <c r="C46" i="11"/>
  <c r="C51" i="23"/>
  <c r="D27" i="23" s="1"/>
  <c r="AV37" i="23" s="1"/>
  <c r="C12" i="23"/>
  <c r="C13" i="23"/>
  <c r="U72" i="11"/>
  <c r="U92" i="11" s="1"/>
  <c r="L63" i="11" l="1"/>
  <c r="L93" i="11" s="1"/>
  <c r="E51" i="23"/>
  <c r="F39" i="23" s="1"/>
  <c r="BD96" i="23" s="1"/>
  <c r="G32" i="23"/>
  <c r="F11" i="20"/>
  <c r="G10" i="20" s="1"/>
  <c r="AZ157" i="23"/>
  <c r="E16" i="23"/>
  <c r="G51" i="23"/>
  <c r="AJ87" i="11"/>
  <c r="AJ92" i="11" s="1"/>
  <c r="F57" i="11"/>
  <c r="F92" i="11" s="1"/>
  <c r="AE82" i="11"/>
  <c r="AE92" i="11" s="1"/>
  <c r="J61" i="11"/>
  <c r="Y76" i="11"/>
  <c r="Y93" i="11" s="1"/>
  <c r="O66" i="11"/>
  <c r="O93" i="11" s="1"/>
  <c r="AF42" i="23"/>
  <c r="BD164" i="23" s="1"/>
  <c r="L28" i="23"/>
  <c r="L31" i="23"/>
  <c r="BH156" i="23" s="1"/>
  <c r="E24" i="23"/>
  <c r="L37" i="23"/>
  <c r="O49" i="23"/>
  <c r="O48" i="23" s="1"/>
  <c r="AL24" i="23"/>
  <c r="AO24" i="23" s="1"/>
  <c r="AC48" i="11"/>
  <c r="AH85" i="11"/>
  <c r="AH92" i="11" s="1"/>
  <c r="Z77" i="11"/>
  <c r="Z92" i="11" s="1"/>
  <c r="X48" i="11"/>
  <c r="AC80" i="11"/>
  <c r="AC93" i="11" s="1"/>
  <c r="L29" i="23"/>
  <c r="L32" i="23"/>
  <c r="AO25" i="23"/>
  <c r="O47" i="23"/>
  <c r="AG49" i="23"/>
  <c r="M39" i="23"/>
  <c r="AZ57" i="23" s="1"/>
  <c r="AF19" i="23"/>
  <c r="BH47" i="23" s="1"/>
  <c r="AA78" i="11"/>
  <c r="AA92" i="11" s="1"/>
  <c r="R69" i="11"/>
  <c r="R93" i="11" s="1"/>
  <c r="K62" i="11"/>
  <c r="K92" i="11" s="1"/>
  <c r="AG84" i="11"/>
  <c r="AG92" i="11" s="1"/>
  <c r="P67" i="11"/>
  <c r="P93" i="11" s="1"/>
  <c r="AH48" i="11"/>
  <c r="AO34" i="23"/>
  <c r="N65" i="11"/>
  <c r="N93" i="11" s="1"/>
  <c r="S70" i="11"/>
  <c r="S92" i="11" s="1"/>
  <c r="D55" i="11"/>
  <c r="C94" i="11"/>
  <c r="T71" i="11"/>
  <c r="T93" i="11" s="1"/>
  <c r="AF83" i="11"/>
  <c r="AF92" i="11" s="1"/>
  <c r="AJ12" i="23"/>
  <c r="H59" i="11"/>
  <c r="H92" i="11" s="1"/>
  <c r="M48" i="11"/>
  <c r="AI86" i="11"/>
  <c r="AI93" i="11" s="1"/>
  <c r="X75" i="11"/>
  <c r="X92" i="11" s="1"/>
  <c r="W74" i="11"/>
  <c r="W93" i="11" s="1"/>
  <c r="M64" i="11"/>
  <c r="M92" i="11" s="1"/>
  <c r="V73" i="11"/>
  <c r="V93" i="11" s="1"/>
  <c r="AD81" i="11"/>
  <c r="AD93" i="11" s="1"/>
  <c r="E56" i="11"/>
  <c r="E92" i="11" s="1"/>
  <c r="J92" i="11"/>
  <c r="J93" i="11"/>
  <c r="AO33" i="23"/>
  <c r="C49" i="11"/>
  <c r="I48" i="23"/>
  <c r="J48" i="23" s="1"/>
  <c r="BD146" i="23"/>
  <c r="I36" i="23"/>
  <c r="J36" i="23" s="1"/>
  <c r="P49" i="23"/>
  <c r="P48" i="23" s="1"/>
  <c r="L27" i="23"/>
  <c r="BH150" i="23" s="1"/>
  <c r="AU147" i="23"/>
  <c r="AF36" i="23"/>
  <c r="AX164" i="23" s="1"/>
  <c r="M41" i="23"/>
  <c r="M40" i="23" s="1"/>
  <c r="BA21" i="23"/>
  <c r="AZ147" i="23"/>
  <c r="M45" i="23"/>
  <c r="M44" i="23" s="1"/>
  <c r="L33" i="23"/>
  <c r="AO38" i="23"/>
  <c r="AO16" i="23"/>
  <c r="X93" i="11"/>
  <c r="X95" i="11" s="1"/>
  <c r="AO26" i="23"/>
  <c r="AO23" i="23"/>
  <c r="AO44" i="23"/>
  <c r="Q92" i="11"/>
  <c r="Q95" i="11" s="1"/>
  <c r="S93" i="11"/>
  <c r="AB93" i="11"/>
  <c r="AB95" i="11" s="1"/>
  <c r="D13" i="23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F11" i="23"/>
  <c r="AY75" i="23" s="1"/>
  <c r="O92" i="11"/>
  <c r="O95" i="11" s="1"/>
  <c r="H93" i="11"/>
  <c r="H95" i="11" s="1"/>
  <c r="AC92" i="11"/>
  <c r="AC95" i="11" s="1"/>
  <c r="AO12" i="23"/>
  <c r="J12" i="23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O35" i="23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L47" i="23"/>
  <c r="BJ155" i="23" s="1"/>
  <c r="U93" i="11"/>
  <c r="U95" i="11" s="1"/>
  <c r="D16" i="23"/>
  <c r="D92" i="11"/>
  <c r="D93" i="11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Y87" i="23" l="1"/>
  <c r="AG93" i="11"/>
  <c r="AG95" i="11" s="1"/>
  <c r="AO19" i="23"/>
  <c r="AO20" i="23" s="1"/>
  <c r="N92" i="11"/>
  <c r="N95" i="11" s="1"/>
  <c r="T92" i="11"/>
  <c r="T95" i="11" s="1"/>
  <c r="AO36" i="23"/>
  <c r="AJ93" i="11"/>
  <c r="AJ95" i="11" s="1"/>
  <c r="Y92" i="11"/>
  <c r="Y95" i="11" s="1"/>
  <c r="M93" i="11"/>
  <c r="M95" i="11" s="1"/>
  <c r="J95" i="11"/>
  <c r="C92" i="11"/>
  <c r="D95" i="11"/>
  <c r="AO49" i="23" l="1"/>
  <c r="C93" i="11"/>
  <c r="C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<sst xmlns="http://schemas.openxmlformats.org/spreadsheetml/2006/main" count="14981" uniqueCount="4056">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</sst>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45" zoomScaleNormal="100" workbookViewId="0">
      <selection activeCell="I67" sqref="I6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1-HYDROXYANTHRAQUINONE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708</v>
      </c>
      <c r="J6" s="400"/>
      <c r="K6" s="121">
        <f>VLOOKUP(ChemName,ChemData,26,FALSE)</f>
        <v>0</v>
      </c>
      <c r="L6" s="393">
        <f>IF(ISBLANK(I6),IF(ISBLANK(J6),K6,J6),I6)</f>
        <v>708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Acid</v>
      </c>
      <c r="K14" s="350" t="s">
        <v>2061</v>
      </c>
      <c r="L14" s="351" t="str">
        <f>IF(I14="",IF(J14="",K14,J14),I14)</f>
        <v>Acid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224.22</v>
      </c>
      <c r="K15" s="345">
        <f>MEDIAN(substances!F$17:F$283)</f>
        <v>138</v>
      </c>
      <c r="L15" s="346">
        <f>IF(ISBLANK(I15),IF(ISNUMBER(J15)=FALSE,K15/1000,J15/1000),I15/1000)</f>
        <v>0.22422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51.258985241277919</v>
      </c>
      <c r="L17" s="346">
        <f t="shared" ref="L17:L23" si="0">IF(ISBLANK(I17), IF(ISNUMBER(J17)=FALSE, K17, J17), I17)</f>
        <v>51.258985241277919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4.2283410004967763</v>
      </c>
      <c r="L18" s="346">
        <f t="shared" si="0"/>
        <v>4.2283410004967763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2.9669768715870563E-7</v>
      </c>
      <c r="L19" s="346">
        <f>IF(ISBLANK(I19), IF(ISNUMBER(J19)=FALSE, K19, J19), I19)</f>
        <v>2.9669768715870563E-7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3311.3112148259115</v>
      </c>
      <c r="K20" s="345">
        <f>MEDIAN(substances!K$17:K$283)</f>
        <v>18</v>
      </c>
      <c r="L20" s="346">
        <f t="shared" si="0"/>
        <v>3311.3112148259115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1.0471285480508996</v>
      </c>
      <c r="L21" s="346">
        <f t="shared" si="0"/>
        <v>1.0471285480508996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9.4700000000000006</v>
      </c>
      <c r="K22" s="345">
        <v>7</v>
      </c>
      <c r="L22" s="346">
        <f t="shared" si="0"/>
        <v>9.4700000000000006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3300.1324569844587</v>
      </c>
      <c r="L23" s="346">
        <f t="shared" si="0"/>
        <v>3300.1324569844587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0.99999966115595873</v>
      </c>
      <c r="L24" s="351">
        <f t="shared" ref="L24:L35" si="2">IF(ISBLANK(I24), IF(ISNUMBER(J24)=FALSE, K24, J24), I24)</f>
        <v>0.99999966115595873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0.9966230012016889</v>
      </c>
      <c r="L25" s="351">
        <f t="shared" si="2"/>
        <v>0.9966230012016889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0.99914958578168711</v>
      </c>
      <c r="L26" s="351">
        <f t="shared" si="2"/>
        <v>0.99914958578168711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0.96722610854541258</v>
      </c>
      <c r="L27" s="351">
        <f t="shared" si="2"/>
        <v>0.96722610854541258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0.99156045182276509</v>
      </c>
      <c r="L28" s="351">
        <f t="shared" si="2"/>
        <v>0.99156045182276509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0.99999148869206089</v>
      </c>
      <c r="L29" s="351">
        <f t="shared" si="2"/>
        <v>0.99999148869206089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0.99996611673250069</v>
      </c>
      <c r="L30" s="351">
        <f t="shared" si="2"/>
        <v>0.99996611673250069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0.99914958578168711</v>
      </c>
      <c r="L31" s="351">
        <f t="shared" si="2"/>
        <v>0.99914958578168711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0.9966230012016889</v>
      </c>
      <c r="L32" s="351">
        <f t="shared" si="2"/>
        <v>0.9966230012016889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0.99914958578168711</v>
      </c>
      <c r="L33" s="351">
        <f t="shared" si="2"/>
        <v>0.99914958578168711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0.9966230012016889</v>
      </c>
      <c r="L34" s="351">
        <f t="shared" si="2"/>
        <v>0.9966230012016889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2.7866666659699999E-5</v>
      </c>
      <c r="K35" s="345">
        <f>MEDIAN(substances!$H$17:$H$283)</f>
        <v>4</v>
      </c>
      <c r="L35" s="346">
        <f t="shared" si="2"/>
        <v>2.7866666659699999E-5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110.06446302834439</v>
      </c>
      <c r="L36" s="346">
        <f>IF(ISBLANK(I36),IF(ISNUMBER(J36)=FALSE,K36*1000,J36*1000),I36*1000)</f>
        <v>110064.4630283444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8.5</v>
      </c>
      <c r="K37" s="345">
        <f>10^(LOG(Kow)*-1.214+0.85)*(Molweight*1000000)</f>
        <v>84.604672413656203</v>
      </c>
      <c r="L37" s="346">
        <f>IF(ISBLANK(I37),IF(ISNUMBER(J37)=FALSE,K37/(1000*Molweight),J37/(1000*Molweight)),I37/(1000*Molweight))</f>
        <v>3.7909196325037912E-2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894.47981597766227</v>
      </c>
      <c r="J42" s="245">
        <f>1.26*Kow^0.81</f>
        <v>894.47981597766227</v>
      </c>
      <c r="K42" s="245">
        <f>MAX(IF(Pvap25&gt;100000,(100000/_Sol25)/(8.314*298),(Pvap25/_Sol25)/(8.314*298)),1E-20)</f>
        <v>2.9669768715870563E-7</v>
      </c>
      <c r="L42" s="245">
        <f>MAX(IF(Pvap25&gt;100000,(100000/_Sol25)/(8.314*298),(Pvap25/_Sol25)/(8.314*298)),1E-20)</f>
        <v>2.9669768715870563E-7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1025.1797048255585</v>
      </c>
      <c r="J43" s="245">
        <f>10^(0.11*LOG(Kow)+1.54)</f>
        <v>84.566820009935526</v>
      </c>
      <c r="K43" s="245">
        <f>MAX(IF(Pvap25&gt;100000,(100000/_Sol25)/(8.314*298),(Pvap25/_Sol25)/(8.314*298)),1E-20)</f>
        <v>2.9669768715870563E-7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1005.5415018560428</v>
      </c>
      <c r="J44" s="245">
        <f>IF(pKa&gt;0,10^(pKa^0.65*(Kow/(1+Kow))^0.14),1)</f>
        <v>20479.001087774792</v>
      </c>
      <c r="K44" s="245">
        <f>MAX(IF(Pvap25&gt;100000,(100000/_Sol25)/(8.314*298),(Pvap25/_Sol25)/(8.314*298)),1E-20)</f>
        <v>2.9669768715870563E-7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894.47981597766227</v>
      </c>
      <c r="J46" s="245">
        <f>1.26*Kow^0.81</f>
        <v>894.47981597766227</v>
      </c>
      <c r="K46" s="245">
        <f t="shared" ref="K46:L64" si="3">MAX(IF(Pvap25&gt;100000,(100000/_Sol25)/(8.314*298),(Pvap25/_Sol25)/(8.314*298)),1E-20)</f>
        <v>2.9669768715870563E-7</v>
      </c>
      <c r="L46" s="245">
        <f t="shared" si="3"/>
        <v>2.9669768715870563E-7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708.51113768487846</v>
      </c>
      <c r="J47" s="245">
        <f>10.47*Kow^0.52</f>
        <v>708.51113768487846</v>
      </c>
      <c r="K47" s="245">
        <f t="shared" si="3"/>
        <v>2.9669768715870563E-7</v>
      </c>
      <c r="L47" s="245">
        <f t="shared" si="3"/>
        <v>2.9669768715870563E-7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1310.4501426079098</v>
      </c>
      <c r="J48" s="245">
        <f>7.94*Kow^0.63</f>
        <v>1310.4501426079098</v>
      </c>
      <c r="K48" s="245">
        <f t="shared" si="3"/>
        <v>2.9669768715870563E-7</v>
      </c>
      <c r="L48" s="245">
        <f t="shared" si="3"/>
        <v>2.9669768715870563E-7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555.01549941353494</v>
      </c>
      <c r="J49" s="245">
        <f>12.3*Kow^0.47</f>
        <v>555.01549941353494</v>
      </c>
      <c r="K49" s="245">
        <f t="shared" si="3"/>
        <v>2.9669768715870563E-7</v>
      </c>
      <c r="L49" s="245">
        <f t="shared" si="3"/>
        <v>2.9669768715870563E-7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142.5893478168106</v>
      </c>
      <c r="J50" s="245">
        <f>3.16*Kow^0.47</f>
        <v>142.5893478168106</v>
      </c>
      <c r="K50" s="245">
        <f t="shared" si="3"/>
        <v>2.9669768715870563E-7</v>
      </c>
      <c r="L50" s="245">
        <f t="shared" si="3"/>
        <v>2.9669768715870563E-7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337.22161989416418</v>
      </c>
      <c r="J51" s="245">
        <f>13.18*Kow^0.4</f>
        <v>337.22161989416418</v>
      </c>
      <c r="K51" s="245">
        <f t="shared" si="3"/>
        <v>2.9669768715870563E-7</v>
      </c>
      <c r="L51" s="245">
        <f t="shared" si="3"/>
        <v>2.9669768715870563E-7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74.556769600191942</v>
      </c>
      <c r="J52" s="245">
        <f>3.16*Kow^0.39</f>
        <v>74.556769600191942</v>
      </c>
      <c r="K52" s="245">
        <f t="shared" si="3"/>
        <v>2.9669768715870563E-7</v>
      </c>
      <c r="L52" s="245">
        <f t="shared" si="3"/>
        <v>2.9669768715870563E-7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257.94775750000855</v>
      </c>
      <c r="J53" s="245">
        <f>17.78*Kow^0.33</f>
        <v>257.94775750000855</v>
      </c>
      <c r="K53" s="245">
        <f t="shared" si="3"/>
        <v>2.9669768715870563E-7</v>
      </c>
      <c r="L53" s="245">
        <f t="shared" si="3"/>
        <v>2.9669768715870563E-7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1077.5396448397864</v>
      </c>
      <c r="J54" s="245">
        <f>7.08*Kow^0.62</f>
        <v>1077.5396448397864</v>
      </c>
      <c r="K54" s="245">
        <f t="shared" si="3"/>
        <v>2.9669768715870563E-7</v>
      </c>
      <c r="L54" s="245">
        <f t="shared" si="3"/>
        <v>2.9669768715870563E-7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276.87203094109901</v>
      </c>
      <c r="J55" s="245">
        <f>13.8*Kow^0.37</f>
        <v>276.87203094109901</v>
      </c>
      <c r="K55" s="245">
        <f t="shared" si="3"/>
        <v>2.9669768715870563E-7</v>
      </c>
      <c r="L55" s="245">
        <f t="shared" si="3"/>
        <v>2.9669768715870563E-7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1809.7513781800767</v>
      </c>
      <c r="J56" s="245">
        <f>83.18*Kow^0.38</f>
        <v>1809.7513781800767</v>
      </c>
      <c r="K56" s="245">
        <f t="shared" si="3"/>
        <v>2.9669768715870563E-7</v>
      </c>
      <c r="L56" s="245">
        <f t="shared" si="3"/>
        <v>2.9669768715870563E-7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595.3781015365372</v>
      </c>
      <c r="J57" s="245">
        <f>11.22*Kow^0.49</f>
        <v>595.3781015365372</v>
      </c>
      <c r="K57" s="245">
        <f t="shared" si="3"/>
        <v>2.9669768715870563E-7</v>
      </c>
      <c r="L57" s="245">
        <f t="shared" si="3"/>
        <v>2.9669768715870563E-7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1822.335573550027</v>
      </c>
      <c r="J58" s="245">
        <f>3.55*Kow^0.77</f>
        <v>1822.335573550027</v>
      </c>
      <c r="K58" s="245">
        <f t="shared" si="3"/>
        <v>2.9669768715870563E-7</v>
      </c>
      <c r="L58" s="245">
        <f t="shared" si="3"/>
        <v>2.9669768715870563E-7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270.48693086304706</v>
      </c>
      <c r="J59" s="245">
        <f>2.09*Kow^0.6</f>
        <v>270.48693086304706</v>
      </c>
      <c r="K59" s="245">
        <f t="shared" si="3"/>
        <v>2.9669768715870563E-7</v>
      </c>
      <c r="L59" s="245">
        <f t="shared" si="3"/>
        <v>2.9669768715870563E-7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1219.8444867073501</v>
      </c>
      <c r="J60" s="245">
        <f>12.02*Kow^0.57</f>
        <v>1219.8444867073501</v>
      </c>
      <c r="K60" s="245">
        <f t="shared" si="3"/>
        <v>2.9669768715870563E-7</v>
      </c>
      <c r="L60" s="245">
        <f t="shared" si="3"/>
        <v>2.9669768715870563E-7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595.3781015365372</v>
      </c>
      <c r="J61" s="245">
        <f>11.22*Kow^0.49</f>
        <v>595.3781015365372</v>
      </c>
      <c r="K61" s="245">
        <f t="shared" si="3"/>
        <v>2.9669768715870563E-7</v>
      </c>
      <c r="L61" s="245">
        <f t="shared" si="3"/>
        <v>2.9669768715870563E-7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784.81658838907174</v>
      </c>
      <c r="J62" s="245">
        <f>14.79*Kow^0.49</f>
        <v>784.81658838907174</v>
      </c>
      <c r="K62" s="245">
        <f t="shared" si="3"/>
        <v>2.9669768715870563E-7</v>
      </c>
      <c r="L62" s="245">
        <f t="shared" si="3"/>
        <v>2.9669768715870563E-7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359.71774777736886</v>
      </c>
      <c r="J63" s="245">
        <f>31.62*Kow^0.3</f>
        <v>359.71774777736886</v>
      </c>
      <c r="K63" s="245">
        <f t="shared" si="3"/>
        <v>2.9669768715870563E-7</v>
      </c>
      <c r="L63" s="245">
        <f t="shared" si="3"/>
        <v>2.9669768715870563E-7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1159.6665312949469</v>
      </c>
      <c r="J64" s="247">
        <f>25.7*Kow^0.47</f>
        <v>1159.6665312949469</v>
      </c>
      <c r="K64" s="247">
        <f t="shared" si="3"/>
        <v>2.9669768715870563E-7</v>
      </c>
      <c r="L64" s="247">
        <f t="shared" si="3"/>
        <v>2.9669768715870563E-7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>
        <f>1.03*10^-5</f>
        <v>1.0300000000000001E-5</v>
      </c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1.0271107499999999E-5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1.0300000000000001E-5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>
        <f>2.38*10^-8</f>
        <v>2.3799999999999998E-8</v>
      </c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>
        <f>1.07*10^-7</f>
        <v>1.0700000000000001E-7</v>
      </c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1.4142267408689941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1.4142267408689941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1.4142267408689941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7.2816902647752066E-6</v>
      </c>
      <c r="L155" s="346">
        <f t="shared" ref="L155:L160" si="17">IF(ISBLANK(I155), IF(ISNUMBER(J155)=FALSE, K155, J155), I155)</f>
        <v>7.2816902647752066E-6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7.5555800412712927E-10</v>
      </c>
      <c r="L156" s="346">
        <f t="shared" si="17"/>
        <v>7.5555800412712927E-10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1-HYDROXYANTHRAQUINONE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1-HYDROXYANTHRAQUINONE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1-HYDROXYANTHRAQUINONE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1-HYDROXYANTHRAQUINONE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0.11394691115504314</v>
      </c>
      <c r="AY8" s="75"/>
      <c r="AZ8" s="295">
        <f>output!AF12</f>
        <v>4.6145786527739322E-6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1.8801757195926732E-3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0.11866480570668834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12596.922253336061</v>
      </c>
      <c r="D11" s="117">
        <f>C11/$C$51</f>
        <v>1.0775238075698156E-3</v>
      </c>
      <c r="E11" s="517">
        <f>M.aC*Molweight</f>
        <v>6259.1171077472636</v>
      </c>
      <c r="F11" s="117">
        <f>E11/$E$51</f>
        <v>3.2472263268906046E-3</v>
      </c>
      <c r="G11" s="517">
        <f>M.aM*Molweight</f>
        <v>471.27389226275096</v>
      </c>
      <c r="H11" s="117">
        <f>G11/$G$51</f>
        <v>8.9433136118448504E-4</v>
      </c>
      <c r="I11" s="517">
        <f>M.aA*Molweight</f>
        <v>10.71374694000348</v>
      </c>
      <c r="J11" s="117">
        <f>I11/$I$51</f>
        <v>4.1045633543027255E-5</v>
      </c>
      <c r="K11" s="517">
        <f>M.aT*Molweight</f>
        <v>16.21309058055834</v>
      </c>
      <c r="L11" s="118">
        <f>K11/$K$51</f>
        <v>5.5095794784166029E-3</v>
      </c>
      <c r="M11" s="320">
        <f>C.aR*(Molweight*1000)</f>
        <v>5.4871813622581611E-8</v>
      </c>
      <c r="N11" s="320">
        <f>C.aC*(Molweight*1000)</f>
        <v>8.6941238431048558E-10</v>
      </c>
      <c r="O11" s="320">
        <f>C.aM*(Molweight*1000)</f>
        <v>6.0753735119505843E-12</v>
      </c>
      <c r="P11" s="320">
        <f>C.aA*(Molweight*1000)</f>
        <v>2.5208816329419955E-13</v>
      </c>
      <c r="Q11" s="321">
        <f>C.aT*(Molweight*1000)</f>
        <v>1.2716149474947719E-13</v>
      </c>
      <c r="R11" s="119" t="s">
        <v>1493</v>
      </c>
      <c r="S11" s="323">
        <f>F.aR</f>
        <v>5.7986893970462451E-7</v>
      </c>
      <c r="T11" s="323">
        <f>F.aC</f>
        <v>9.1876904401920093E-9</v>
      </c>
      <c r="U11" s="323">
        <f>F.aM</f>
        <v>6.4202732953491165E-11</v>
      </c>
      <c r="V11" s="323">
        <f>F.aA</f>
        <v>2.4583509065746028E-12</v>
      </c>
      <c r="W11" s="324">
        <f>F.aT</f>
        <v>1.4051010564153587E-12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1.0775238075698156E-3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12295.514349727964</v>
      </c>
      <c r="D12" s="122">
        <f>C12/$C$51</f>
        <v>1.0517417803892141E-3</v>
      </c>
      <c r="E12" s="318">
        <f>FRgas.aC*E11</f>
        <v>6109.3545444843157</v>
      </c>
      <c r="F12" s="122">
        <f>E12/$E$51</f>
        <v>3.1695295958918943E-3</v>
      </c>
      <c r="G12" s="318">
        <f>FRgas.aM*G11</f>
        <v>459.99767152918844</v>
      </c>
      <c r="H12" s="122">
        <f>G12/$G$51</f>
        <v>8.7293259922624532E-4</v>
      </c>
      <c r="I12" s="318">
        <f>FRgas.aA*I11</f>
        <v>10.331966286818563</v>
      </c>
      <c r="J12" s="122">
        <f>I12/$I$51</f>
        <v>3.9582986639735679E-5</v>
      </c>
      <c r="K12" s="318">
        <f>FRgas.aT*K11</f>
        <v>15.830403090012975</v>
      </c>
      <c r="L12" s="123">
        <f>K12/$K$51</f>
        <v>5.3795335051285862E-3</v>
      </c>
      <c r="M12" s="320">
        <f>FRgas.aR*M11</f>
        <v>5.3558889879897042E-8</v>
      </c>
      <c r="N12" s="320">
        <f>FRgas.aC*N11</f>
        <v>8.4860986137227012E-10</v>
      </c>
      <c r="O12" s="320">
        <f>FRgas.aM*O11</f>
        <v>5.9300074013208049E-12</v>
      </c>
      <c r="P12" s="320">
        <f>FRgas.aA*P11</f>
        <v>2.4310508910161327E-13</v>
      </c>
      <c r="Q12" s="320">
        <f>FRgas.aT*Q11</f>
        <v>1.2416002423539589E-13</v>
      </c>
      <c r="R12" s="120" t="s">
        <v>1493</v>
      </c>
      <c r="S12" s="325">
        <f>S11*FRgas.aR</f>
        <v>5.6599435367726903E-7</v>
      </c>
      <c r="T12" s="325">
        <f>T11*FRgas.aC</f>
        <v>8.967855590147981E-9</v>
      </c>
      <c r="U12" s="325">
        <f>U11*FRgas.aM</f>
        <v>6.2666547307803191E-11</v>
      </c>
      <c r="V12" s="325">
        <f>V11*FRgas.aA</f>
        <v>2.3707484253767897E-12</v>
      </c>
      <c r="W12" s="326">
        <f>W11*FRgas.aT</f>
        <v>1.371935597024968E-12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1.8801757195926732E-3</v>
      </c>
      <c r="AE12" s="325">
        <f>k.aR.aC*M.aR*Molweight</f>
        <v>0.11866480570668834</v>
      </c>
      <c r="AF12" s="325">
        <f>kesc.aR*M.aR*Molweight</f>
        <v>4.6145786527739322E-6</v>
      </c>
      <c r="AG12" s="326">
        <f>KDEG.aR*M.aR*Molweight</f>
        <v>0.11394691115504314</v>
      </c>
      <c r="AH12" s="325">
        <f>SUM(AH13:AH15)</f>
        <v>4.1120794562672872E-3</v>
      </c>
      <c r="AI12" s="325">
        <f>SUM(AI13:AI15)</f>
        <v>1.320961486882802E-4</v>
      </c>
      <c r="AJ12" s="325">
        <f>SUM(AJ18:AJ20)</f>
        <v>8.2564422786741018E-2</v>
      </c>
      <c r="AK12" s="325">
        <f>SUM(AK18:AK20)</f>
        <v>1.8264197746577606E-4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708</v>
      </c>
      <c r="BO12" s="409" t="str">
        <f>ChemName</f>
        <v>1-HYDROXYANTHRAQUINONE</v>
      </c>
      <c r="BP12" s="541" t="str">
        <f>substances!D6</f>
        <v>Acid</v>
      </c>
      <c r="BQ12" s="542">
        <f>substances!E6</f>
        <v>9.4700000000000006</v>
      </c>
      <c r="BR12" s="425">
        <f>engine!D45</f>
        <v>56181.082210935958</v>
      </c>
      <c r="BS12" s="425"/>
      <c r="BT12" s="425">
        <f>engine!F45</f>
        <v>9210831.7686794791</v>
      </c>
      <c r="BU12" s="425">
        <f>engine!G45</f>
        <v>460710.01133207913</v>
      </c>
      <c r="BV12" s="425">
        <f>engine!H45</f>
        <v>3323310.8864216032</v>
      </c>
      <c r="BW12" s="425">
        <f>engine!I45</f>
        <v>42020.541831378992</v>
      </c>
      <c r="BX12" s="425">
        <f>engine!J45</f>
        <v>2130527.2809521267</v>
      </c>
      <c r="BY12" s="425">
        <f>engine!K45</f>
        <v>36028859.338183984</v>
      </c>
      <c r="BZ12" s="425">
        <f>engine!L45</f>
        <v>789028.18583163817</v>
      </c>
      <c r="CA12" s="425">
        <f>engine!M45</f>
        <v>27915.070501058173</v>
      </c>
      <c r="CB12" s="425">
        <f>engine!N45</f>
        <v>8976.3391143765675</v>
      </c>
      <c r="CC12" s="425">
        <f>engine!O45</f>
        <v>53882.835163396252</v>
      </c>
      <c r="CD12" s="425">
        <f>engine!P45</f>
        <v>6544313.3448195131</v>
      </c>
      <c r="CE12" s="425">
        <f>engine!Q45</f>
        <v>19441.177212538329</v>
      </c>
      <c r="CF12" s="425">
        <f>engine!R45</f>
        <v>29844.759816324455</v>
      </c>
      <c r="CG12" s="425">
        <f>engine!S45</f>
        <v>514571.14811655786</v>
      </c>
      <c r="CH12" s="425">
        <f>engine!T45</f>
        <v>1207075.9305052871</v>
      </c>
      <c r="CI12" s="425">
        <f>engine!U45</f>
        <v>190568.51140435025</v>
      </c>
      <c r="CJ12" s="425">
        <f>engine!V45</f>
        <v>2101.8370005474576</v>
      </c>
      <c r="CK12" s="425">
        <f>engine!W45</f>
        <v>607735.85484359728</v>
      </c>
      <c r="CL12" s="611"/>
      <c r="CM12" s="425">
        <f>engine!Y45</f>
        <v>483.81091671435229</v>
      </c>
      <c r="CN12" s="425">
        <f>engine!Z45</f>
        <v>148515.72097654114</v>
      </c>
      <c r="CO12" s="425">
        <f>engine!AA45</f>
        <v>47.782298367690125</v>
      </c>
      <c r="CP12" s="425">
        <f>engine!AB45</f>
        <v>114888.93471527621</v>
      </c>
      <c r="CQ12" s="425"/>
      <c r="CR12" s="425">
        <f>engine!AD45</f>
        <v>366.32291704317043</v>
      </c>
      <c r="CS12" s="425">
        <f>engine!AE45</f>
        <v>11838.645730675897</v>
      </c>
      <c r="CT12" s="425">
        <f>engine!AF45</f>
        <v>72.308851041648111</v>
      </c>
      <c r="CU12" s="425">
        <f>engine!AG45</f>
        <v>1244.8575281436001</v>
      </c>
      <c r="CV12" s="425"/>
      <c r="CW12" s="425">
        <f>engine!AI45</f>
        <v>2.5436625787603235</v>
      </c>
      <c r="CX12" s="425">
        <f>engine!AJ45</f>
        <v>1258.6547285063475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301.40790360809615</v>
      </c>
      <c r="D13" s="122">
        <f>C13/$C$51</f>
        <v>2.5782027180601301E-5</v>
      </c>
      <c r="E13" s="318">
        <f>(1-FRgas.aC)*E11</f>
        <v>149.76256326294748</v>
      </c>
      <c r="F13" s="122">
        <f>E13/$E$51</f>
        <v>7.7696730998709978E-5</v>
      </c>
      <c r="G13" s="318">
        <f>(1-FRgas.aM)*G11</f>
        <v>11.276220733562548</v>
      </c>
      <c r="H13" s="122">
        <f>G13/$G$51</f>
        <v>2.1398761958239689E-5</v>
      </c>
      <c r="I13" s="318">
        <f>(1-FRgas.aA)*I11</f>
        <v>0.38178065318491644</v>
      </c>
      <c r="J13" s="122">
        <f>I13/$I$51</f>
        <v>1.4626469032915735E-6</v>
      </c>
      <c r="K13" s="318">
        <f>(1-FRgas.aT)*K11</f>
        <v>0.38268749054536472</v>
      </c>
      <c r="L13" s="123">
        <f>K13/$K$51</f>
        <v>1.3004597328801696E-4</v>
      </c>
      <c r="M13" s="320">
        <f>(1-FRgas.aR)*M11</f>
        <v>1.3129237426845675E-9</v>
      </c>
      <c r="N13" s="320">
        <f>(1-FRgas.aC)*N11</f>
        <v>2.0802522938215435E-11</v>
      </c>
      <c r="O13" s="320">
        <f>(1-FRgas.aM)*O11</f>
        <v>1.4536611062977959E-13</v>
      </c>
      <c r="P13" s="320">
        <f>(1-FRgas.aA)*P11</f>
        <v>8.9830741925862697E-15</v>
      </c>
      <c r="Q13" s="320">
        <f>(1-FRgas.aT)*Q11</f>
        <v>3.0014705140812923E-15</v>
      </c>
      <c r="R13" s="120" t="s">
        <v>1493</v>
      </c>
      <c r="S13" s="325">
        <f>S11*(1-FRgas.aR)</f>
        <v>1.3874586027355525E-8</v>
      </c>
      <c r="T13" s="325">
        <f>T11*(1-FRgas.aC)</f>
        <v>2.198348500440286E-10</v>
      </c>
      <c r="U13" s="325">
        <f>U11*(1-FRgas.aM)</f>
        <v>1.5361856456879691E-12</v>
      </c>
      <c r="V13" s="325">
        <f>V11*(1-FRgas.aA)</f>
        <v>8.7602481197813172E-14</v>
      </c>
      <c r="W13" s="326">
        <f>W11*(1-FRgas.aT)</f>
        <v>3.3165459390390762E-14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5.2458322021740624E-5</v>
      </c>
      <c r="AF13" s="330"/>
      <c r="AG13" s="326">
        <f>KDEG.w0R*M.w0R*Molweight</f>
        <v>1.9006573671695249E-3</v>
      </c>
      <c r="AH13" s="325">
        <f>k.aR.w0R*M.aR*Molweight</f>
        <v>2.9906008620197451E-4</v>
      </c>
      <c r="AI13" s="325">
        <f>k.w0R.aR*M.w0R*Molweight</f>
        <v>4.1434170674988439E-8</v>
      </c>
      <c r="AJ13" s="325"/>
      <c r="AK13" s="325"/>
      <c r="AL13" s="631">
        <f>SUM(AL18:AL20)*AREAFRAC.w0R/(AREAFRAC.w0R+AREAFRAC.w1R)</f>
        <v>1.6540970371599654E-3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5.2458322021740624E-5</v>
      </c>
      <c r="AE14" s="325">
        <f>(WATERflow.w1R.w0R+WATERflow.w1R.w2R)*C.w1R*Molweight</f>
        <v>0.15002873489220825</v>
      </c>
      <c r="AF14" s="330"/>
      <c r="AG14" s="326">
        <f>KDEG.w1R*M.w1R*Molweight</f>
        <v>0.17911622243567785</v>
      </c>
      <c r="AH14" s="325">
        <f>k.aR.w1R*M.aR*Molweight</f>
        <v>3.2896609482217201E-3</v>
      </c>
      <c r="AI14" s="325">
        <f>k.w1R.aR*M.w1R*Molweight</f>
        <v>1.3015728591684182E-4</v>
      </c>
      <c r="AJ14" s="325"/>
      <c r="AK14" s="325"/>
      <c r="AL14" s="631">
        <f>SUM(AL18:AL20)*AREAFRAC.w1R/(AREAFRAC.w0R+AREAFRAC.w1R)</f>
        <v>1.8195067408759622E-2</v>
      </c>
      <c r="AM14" s="325">
        <f>k.w1R.sd1R*M.w1R*Molweight</f>
        <v>5.4632347395166439E-2</v>
      </c>
      <c r="AN14" s="326">
        <f>k.sd1R.w1R*M.sd1R*Molweight</f>
        <v>4.52723554923204E-2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21882.614329068947</v>
      </c>
      <c r="D15" s="122">
        <f>C15/$C$51</f>
        <v>1.8718094338635539E-3</v>
      </c>
      <c r="E15" s="318">
        <f>M.w0C*Molweight</f>
        <v>2012.6747562255141</v>
      </c>
      <c r="F15" s="122">
        <f>E15/$E$51</f>
        <v>1.0441744967184148E-3</v>
      </c>
      <c r="G15" s="318"/>
      <c r="H15" s="122"/>
      <c r="I15" s="318"/>
      <c r="J15" s="122"/>
      <c r="K15" s="318"/>
      <c r="L15" s="123"/>
      <c r="M15" s="320">
        <f>C.w0R*Molweight</f>
        <v>3.8294814418460772E-7</v>
      </c>
      <c r="N15" s="320">
        <f>C.w0C*Molweight</f>
        <v>2.309543474428561E-9</v>
      </c>
      <c r="O15" s="320"/>
      <c r="P15" s="320"/>
      <c r="Q15" s="320"/>
      <c r="R15" s="120" t="s">
        <v>1489</v>
      </c>
      <c r="S15" s="325">
        <f>F.w0R</f>
        <v>1.9893930058722304E-10</v>
      </c>
      <c r="T15" s="325">
        <f>F.w0C</f>
        <v>1.1997942030947976E-12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0.15005309350042662</v>
      </c>
      <c r="AE15" s="325">
        <f>k.w2R.w2C*M.w2R*Molweight</f>
        <v>0.14150651111422813</v>
      </c>
      <c r="AF15" s="330"/>
      <c r="AG15" s="326">
        <f>KDEG.w2R*M.w2R*Molweight</f>
        <v>8.9683593382900838E-3</v>
      </c>
      <c r="AH15" s="325">
        <f>k.aR.w2R*M.aR*Molweight</f>
        <v>5.2335842184359253E-4</v>
      </c>
      <c r="AI15" s="325">
        <f>k.w2R.aR*M.w2R*Molweight</f>
        <v>1.8974286007633847E-6</v>
      </c>
      <c r="AJ15" s="325"/>
      <c r="AK15" s="325"/>
      <c r="AL15" s="631"/>
      <c r="AM15" s="325">
        <f>k.w2R.sd2R*M.w2R*Molweight</f>
        <v>5.112580008601506E-4</v>
      </c>
      <c r="AN15" s="326">
        <f>k.sd2R.w2R*M.sd2R*Molweight</f>
        <v>4.1157395970887079E-4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21875.721053995832</v>
      </c>
      <c r="D16" s="122">
        <f>C16/$C$51</f>
        <v>1.8712197923738288E-3</v>
      </c>
      <c r="E16" s="318">
        <f>FRw.w0C*E15</f>
        <v>2012.0407405398769</v>
      </c>
      <c r="F16" s="122">
        <f>E16/$E$51</f>
        <v>1.0438455697482653E-3</v>
      </c>
      <c r="G16" s="318"/>
      <c r="H16" s="122"/>
      <c r="I16" s="318"/>
      <c r="J16" s="122"/>
      <c r="K16" s="318"/>
      <c r="L16" s="123"/>
      <c r="M16" s="320">
        <f>M15*FRw.w0R</f>
        <v>3.8282751111687151E-7</v>
      </c>
      <c r="N16" s="320">
        <f>N15*FRw.w0C</f>
        <v>2.3088159416839288E-9</v>
      </c>
      <c r="O16" s="320"/>
      <c r="P16" s="320"/>
      <c r="Q16" s="320"/>
      <c r="R16" s="120" t="s">
        <v>1489</v>
      </c>
      <c r="S16" s="325">
        <f>S15*FRw.w0R</f>
        <v>1.9887663242055983E-10</v>
      </c>
      <c r="T16" s="325">
        <f>T15*FRw.w0C</f>
        <v>1.1994162541281571E-12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2.157491667593906E-3</v>
      </c>
      <c r="AG16" s="326">
        <f>KDEG.sd1R*M.sd1R*Molweight</f>
        <v>7.2025002352521066E-3</v>
      </c>
      <c r="AH16" s="325"/>
      <c r="AI16" s="325"/>
      <c r="AJ16" s="325"/>
      <c r="AK16" s="325"/>
      <c r="AL16" s="631"/>
      <c r="AM16" s="325">
        <f>k.w1R.sd1R*M.w1R*Molweight</f>
        <v>5.4632347395166439E-2</v>
      </c>
      <c r="AN16" s="326">
        <f>k.sd1R.w1R*M.sd1R*Molweight</f>
        <v>4.52723554923204E-2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6.8932750731152419</v>
      </c>
      <c r="D17" s="122">
        <f>C17/$C$51</f>
        <v>5.8964148972517114E-7</v>
      </c>
      <c r="E17" s="318">
        <f>(1-FRw.w0C)*E15</f>
        <v>0.63401568563713451</v>
      </c>
      <c r="F17" s="122">
        <f>E17/$E$51</f>
        <v>3.2892697014954657E-7</v>
      </c>
      <c r="G17" s="318"/>
      <c r="H17" s="122"/>
      <c r="I17" s="318"/>
      <c r="J17" s="122"/>
      <c r="K17" s="318"/>
      <c r="L17" s="123"/>
      <c r="M17" s="320">
        <f>M16*Kp.susp1R</f>
        <v>3.9125096294117525E-5</v>
      </c>
      <c r="N17" s="320">
        <f>N16*Kp.susp1C</f>
        <v>2.3596174104687096E-7</v>
      </c>
      <c r="O17" s="320"/>
      <c r="P17" s="320"/>
      <c r="Q17" s="320"/>
      <c r="R17" s="120" t="s">
        <v>1494</v>
      </c>
      <c r="S17" s="325">
        <f>S15*(1-FRw.w0R)</f>
        <v>6.2668166663212051E-14</v>
      </c>
      <c r="T17" s="325">
        <f>T15*(1-FRw.w0C)</f>
        <v>3.7794896664037787E-16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8.6143300199770707E-6</v>
      </c>
      <c r="AG17" s="326">
        <f>KDEG.sd2R*M.sd2R*Molweight</f>
        <v>9.1069711131302477E-5</v>
      </c>
      <c r="AH17" s="325"/>
      <c r="AI17" s="325"/>
      <c r="AJ17" s="325"/>
      <c r="AK17" s="325"/>
      <c r="AL17" s="631"/>
      <c r="AM17" s="325">
        <f>k.w2R.sd2R*M.w2R*Molweight</f>
        <v>5.112580008601506E-4</v>
      </c>
      <c r="AN17" s="326">
        <f>k.sd2R.w2R*M.sd2R*Molweight</f>
        <v>4.1157395970887079E-4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1.4664817287884485E-5</v>
      </c>
      <c r="AG18" s="326">
        <f>KDEG.s1R*M.s1R*Molweight</f>
        <v>2.0758990548956E-2</v>
      </c>
      <c r="AH18" s="325"/>
      <c r="AI18" s="325"/>
      <c r="AJ18" s="325">
        <f>k.aR.s1R*M.aR*Molweight</f>
        <v>2.2981849641670184E-2</v>
      </c>
      <c r="AK18" s="325">
        <f>k.s1R.aR*M.s1R*Molweight</f>
        <v>2.0192860474891768E-5</v>
      </c>
      <c r="AL18" s="631">
        <f>(k.s1R.w1R+k.s1R.w0R)*M.s1R*Molweight</f>
        <v>2.1880014149514128E-3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2065252.6991733129</v>
      </c>
      <c r="D19" s="122">
        <f>C19/$C$51</f>
        <v>0.17665894154563999</v>
      </c>
      <c r="E19" s="318">
        <f>M.w1C*Molweight</f>
        <v>12081.609300336708</v>
      </c>
      <c r="F19" s="122">
        <f>E19/$E$51</f>
        <v>6.2679319009226421E-3</v>
      </c>
      <c r="G19" s="318"/>
      <c r="H19" s="122"/>
      <c r="I19" s="318"/>
      <c r="J19" s="122"/>
      <c r="K19" s="318"/>
      <c r="L19" s="123"/>
      <c r="M19" s="320">
        <f>C.w1R*Molweight</f>
        <v>1.0952166098169318E-4</v>
      </c>
      <c r="N19" s="320">
        <f>C.w1C*Molweight</f>
        <v>4.2011035817762836E-8</v>
      </c>
      <c r="O19" s="320"/>
      <c r="P19" s="320"/>
      <c r="Q19" s="320"/>
      <c r="R19" s="120" t="s">
        <v>1489</v>
      </c>
      <c r="S19" s="325">
        <f>F.w1R</f>
        <v>5.6895856438321269E-8</v>
      </c>
      <c r="T19" s="325">
        <f>F.w1C</f>
        <v>2.1824485141000047E-11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1.1293710860474185E-4</v>
      </c>
      <c r="AG19" s="326">
        <f>KDEG.s2R*M.s2R*Molweight</f>
        <v>0.35105053907443129</v>
      </c>
      <c r="AH19" s="325"/>
      <c r="AI19" s="325"/>
      <c r="AJ19" s="325">
        <f>k.aR.s2R*M.aR*Molweight</f>
        <v>5.1070776981489277E-2</v>
      </c>
      <c r="AK19" s="325">
        <f>k.s2R.aR*M.s2R*Molweight</f>
        <v>1.5499008021703376E-4</v>
      </c>
      <c r="AL19" s="631">
        <f>(k.s2R.w1R+k.s2R.w0R)*M.s2R*Molweight</f>
        <v>1.6850230555882126E-2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2061548.0653851456</v>
      </c>
      <c r="D20" s="122">
        <f>C20/$C$51</f>
        <v>0.17634205214799206</v>
      </c>
      <c r="E20" s="318">
        <f>FRw.w1C*E19</f>
        <v>12059.93740611893</v>
      </c>
      <c r="F20" s="122">
        <f>E20/$E$51</f>
        <v>6.256688534766343E-3</v>
      </c>
      <c r="G20" s="318"/>
      <c r="H20" s="122"/>
      <c r="I20" s="318"/>
      <c r="J20" s="122"/>
      <c r="K20" s="318"/>
      <c r="L20" s="123"/>
      <c r="M20" s="320">
        <f>M19*FRw.w1R</f>
        <v>1.0932520190142111E-4</v>
      </c>
      <c r="N20" s="320">
        <f>N19*FRw.w1C</f>
        <v>4.193567675742669E-8</v>
      </c>
      <c r="O20" s="320"/>
      <c r="P20" s="320"/>
      <c r="Q20" s="320"/>
      <c r="R20" s="120" t="s">
        <v>1489</v>
      </c>
      <c r="S20" s="325">
        <f>S19*FRw.w1R</f>
        <v>5.6793797105701827E-8</v>
      </c>
      <c r="T20" s="325">
        <f>T19*FRw.w1C</f>
        <v>2.1785336553955437E-11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5.4351997562392424E-6</v>
      </c>
      <c r="AG20" s="326">
        <f>KDEG.s3R*M.s3R*Molweight</f>
        <v>7.6879694519654089E-3</v>
      </c>
      <c r="AH20" s="325"/>
      <c r="AI20" s="325"/>
      <c r="AJ20" s="325">
        <f>k.aR.s3R*M.aR*Molweight</f>
        <v>8.5117961635815479E-3</v>
      </c>
      <c r="AK20" s="325">
        <f>k.s3R.aR*M.s3R*Molweight</f>
        <v>7.4590367738505468E-6</v>
      </c>
      <c r="AL20" s="631">
        <f>(k.s3R.w1R+k.s3R.w0R)*M.s3R*Molweight</f>
        <v>8.109324750860522E-4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2.0192860474891768E-5</v>
      </c>
      <c r="BE20" s="2"/>
      <c r="BF20" s="296">
        <f>IF(output!AK20&lt;0,"",output!AK20)</f>
        <v>7.4590367738505468E-6</v>
      </c>
      <c r="BG20" s="75"/>
      <c r="BH20" s="296">
        <f>IF(output!AK19&lt;0,"",output!AK19)</f>
        <v>1.5499008021703376E-4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3704.6337881673298</v>
      </c>
      <c r="D21" s="122">
        <f>C21/$C$51</f>
        <v>3.1688939764796029E-4</v>
      </c>
      <c r="E21" s="318">
        <f>(1-FRw.w1C)*E19</f>
        <v>21.671894217777755</v>
      </c>
      <c r="F21" s="122">
        <f>E21/$E$51</f>
        <v>1.1243366156298765E-5</v>
      </c>
      <c r="G21" s="318"/>
      <c r="H21" s="122"/>
      <c r="I21" s="318"/>
      <c r="J21" s="122"/>
      <c r="K21" s="318"/>
      <c r="L21" s="123"/>
      <c r="M21" s="320">
        <f>M20*Kp.susp1R</f>
        <v>1.1173071233276982E-2</v>
      </c>
      <c r="N21" s="320">
        <f>N20*Kp.susp1C</f>
        <v>4.2858398198880042E-6</v>
      </c>
      <c r="O21" s="320"/>
      <c r="P21" s="320"/>
      <c r="Q21" s="320"/>
      <c r="R21" s="120" t="s">
        <v>1494</v>
      </c>
      <c r="S21" s="325">
        <f>S19*(1-FRw.w1R)</f>
        <v>1.0205933261943868E-10</v>
      </c>
      <c r="T21" s="325">
        <f>T19*(1-FRw.w1C)</f>
        <v>3.9148587044611168E-14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1.8974286007633847E-6</v>
      </c>
      <c r="AV21" s="75"/>
      <c r="AW21" s="75"/>
      <c r="AX21" s="288">
        <f>IF(output!AI14&lt;0,"",output!AI14)</f>
        <v>1.3015728591684182E-4</v>
      </c>
      <c r="AY21" s="75"/>
      <c r="AZ21" s="75"/>
      <c r="BA21" s="296">
        <f>IF(output!AI13&lt;0,"",output!AI13)</f>
        <v>4.1434170674988439E-8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0.11872524244787885</v>
      </c>
      <c r="AE22" s="325">
        <f>(k.aC.aM+k.aC.aR)*M.aC*Molweight</f>
        <v>1.0528936352176459E-2</v>
      </c>
      <c r="AF22" s="325">
        <f>kesc.aC*M.aC*Molweight</f>
        <v>2.2928765939611531E-6</v>
      </c>
      <c r="AG22" s="326">
        <f>KDEG.aC*M.aC*Molweight</f>
        <v>5.6617564722732848E-2</v>
      </c>
      <c r="AH22" s="325">
        <f>SUM(AH23:AH25)</f>
        <v>3.1649227562886406E-2</v>
      </c>
      <c r="AI22" s="325">
        <f>SUM(AI23:AI25)</f>
        <v>2.1128573335041767E-6</v>
      </c>
      <c r="AJ22" s="325">
        <f>SUM(AJ28:AJ30)</f>
        <v>1.9941199630153381E-2</v>
      </c>
      <c r="AK22" s="325">
        <f>SUM(AK28:AK30)</f>
        <v>1.1865839330691174E-5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2.2981849641670184E-2</v>
      </c>
      <c r="BE22" s="2"/>
      <c r="BF22" s="296">
        <f>IF(output!AJ20&lt;0,"",output!AJ20)</f>
        <v>8.5117961635815479E-3</v>
      </c>
      <c r="BG22" s="75"/>
      <c r="BH22" s="296">
        <f>IF(output!AJ19&lt;0,"",output!AJ19)</f>
        <v>5.1070776981489277E-2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745152.76695345191</v>
      </c>
      <c r="D23" s="122">
        <f>C23/$C$51</f>
        <v>6.3739366689845894E-2</v>
      </c>
      <c r="E23" s="318">
        <f>M.sd1C*Molweight</f>
        <v>4359.1007545953444</v>
      </c>
      <c r="F23" s="122">
        <f>E23/$E$51</f>
        <v>2.2614989443751217E-3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3.0396864623027219E-3</v>
      </c>
      <c r="N23" s="320">
        <f>C.sd1C*(Molweight*1000)/(FRACw.sdC*1000+FRACs.sdC*RHOsolid)</f>
        <v>1.1659828357051115E-6</v>
      </c>
      <c r="O23" s="320"/>
      <c r="P23" s="320"/>
      <c r="Q23" s="320"/>
      <c r="R23" s="120" t="s">
        <v>1495</v>
      </c>
      <c r="S23" s="325">
        <f>F.sd1R</f>
        <v>7.7730715394813539E-8</v>
      </c>
      <c r="T23" s="325">
        <f>F.sd1C</f>
        <v>2.9816456756784269E-11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4.8249052375269176E-6</v>
      </c>
      <c r="AF23" s="330"/>
      <c r="AG23" s="326">
        <f>KDEG.w0C*M.w0C*Molweight</f>
        <v>1.7481481168611871E-4</v>
      </c>
      <c r="AH23" s="325">
        <f>k.aC.w0C*M.aC*Molweight</f>
        <v>7.223976628288919E-5</v>
      </c>
      <c r="AI23" s="325">
        <f>k.w0C.aC*M.w0C*Molweight</f>
        <v>3.8109481851036627E-9</v>
      </c>
      <c r="AJ23" s="325"/>
      <c r="AK23" s="325"/>
      <c r="AL23" s="631">
        <f>SUM(AL28:AL30)*AREAFRAC.w0C/(AREAFRAC.w1C+AREAFRAC.w0C)</f>
        <v>1.0740376158894148E-4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5.2335842184359253E-4</v>
      </c>
      <c r="AV23" s="75"/>
      <c r="AW23" s="75"/>
      <c r="AX23" s="288">
        <f>IF(output!AH14&lt;0,"",output!AH14)</f>
        <v>3.2896609482217201E-3</v>
      </c>
      <c r="AY23" s="291">
        <f>output!AL14</f>
        <v>1.8195067408759622E-2</v>
      </c>
      <c r="AZ23" s="87"/>
      <c r="BA23" s="296">
        <f>IF(output!AH13&lt;0,"",output!AH13)</f>
        <v>2.9906008620197451E-4</v>
      </c>
      <c r="BB23" s="291">
        <f>output!AL13</f>
        <v>1.6540970371599654E-3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596122.21356276155</v>
      </c>
      <c r="D24" s="122">
        <f>C24/$C$51</f>
        <v>5.0991493351876714E-2</v>
      </c>
      <c r="E24" s="318">
        <f>E23*FRACw.sdC</f>
        <v>3487.2806036762759</v>
      </c>
      <c r="F24" s="122">
        <f>E24/$E$51</f>
        <v>1.8091991555000977E-3</v>
      </c>
      <c r="G24" s="318"/>
      <c r="H24" s="122"/>
      <c r="I24" s="318"/>
      <c r="J24" s="122"/>
      <c r="K24" s="318"/>
      <c r="L24" s="123"/>
      <c r="M24" s="320">
        <f>M25/Kp.sd1R</f>
        <v>1.4962771618639919E-4</v>
      </c>
      <c r="N24" s="320">
        <f>N25/Kp.sd1C</f>
        <v>5.7395179069532127E-8</v>
      </c>
      <c r="O24" s="320"/>
      <c r="P24" s="320"/>
      <c r="Q24" s="320"/>
      <c r="R24" s="120" t="s">
        <v>1489</v>
      </c>
      <c r="S24" s="325">
        <f>S23*FRACw.sdR</f>
        <v>6.2184572315850837E-8</v>
      </c>
      <c r="T24" s="325">
        <f>T23*FRACw.sdC</f>
        <v>2.3853165405427415E-11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4.8249052375269176E-6</v>
      </c>
      <c r="AE24" s="325">
        <f>(k.w1C.w0C+k.w1C.w1R+k.w1C.w2C)*M.w1C*Molweight</f>
        <v>8.7765945519257952E-4</v>
      </c>
      <c r="AF24" s="330"/>
      <c r="AG24" s="326">
        <f>KDEG.w1C*M.w1C*Molweight</f>
        <v>1.0478195814421561E-3</v>
      </c>
      <c r="AH24" s="325">
        <f>k.aC.w1C*M.aC*Molweight</f>
        <v>7.9463742911178089E-4</v>
      </c>
      <c r="AI24" s="325">
        <f>k.w1C.aC*M.w1C*Molweight</f>
        <v>7.6141262358303668E-7</v>
      </c>
      <c r="AJ24" s="518"/>
      <c r="AK24" s="518"/>
      <c r="AL24" s="631">
        <f>SUM(AL28:AL30)*AREAFRAC.w1C/(AREAFRAC.w1C+AREAFRAC.w0C)</f>
        <v>1.181441377478356E-3</v>
      </c>
      <c r="AM24" s="325">
        <f>k.w1C.sd1C*M.w1C*Molweight</f>
        <v>3.1959608461128012E-4</v>
      </c>
      <c r="AN24" s="326">
        <f>k.sd1C.w1C*M.sd1C*Molweight</f>
        <v>2.6493282204193458E-4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5.2458322021740624E-5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149030.55339069036</v>
      </c>
      <c r="D25" s="122">
        <f>C25/$C$51</f>
        <v>1.2747873337969175E-2</v>
      </c>
      <c r="E25" s="318">
        <f>E23*FRACs.sdC</f>
        <v>871.82015091906862</v>
      </c>
      <c r="F25" s="122">
        <f>E25/$E$51</f>
        <v>4.5229978887502425E-4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7.6637804560888406E-3</v>
      </c>
      <c r="N25" s="320">
        <f>C.sd1C*FRACs.sdC/(FRACw.sdC/(Kp.sd1C*RHOsolid/1000)+FRACs.sdC)*(Molweight*1000)/(FRACs.sdC*RHOsolid)</f>
        <v>2.9397230863220395E-6</v>
      </c>
      <c r="O25" s="320"/>
      <c r="P25" s="320"/>
      <c r="Q25" s="320"/>
      <c r="R25" s="120" t="s">
        <v>1494</v>
      </c>
      <c r="S25" s="325">
        <f>S23*(1-FRACw.sdR)</f>
        <v>1.5546143078962706E-8</v>
      </c>
      <c r="T25" s="325">
        <f>T23*(1-FRACw.sdC)</f>
        <v>5.9632913513568522E-12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0.14321108849455949</v>
      </c>
      <c r="AE25" s="325">
        <f>(k.w2C.w2M+k.w2C.w2R)*M.w2C*Molweight</f>
        <v>4.6527162151580231E-2</v>
      </c>
      <c r="AF25" s="330"/>
      <c r="AG25" s="326">
        <f>KDEG.w2C*M.w2C*Molweight</f>
        <v>0.12739413569288285</v>
      </c>
      <c r="AH25" s="325">
        <f>k.aC.w2C*M.aC*Molweight</f>
        <v>3.0782350367491738E-2</v>
      </c>
      <c r="AI25" s="325">
        <f>k.w2C.aC*M.w2C*Molweight</f>
        <v>1.3476337617360363E-6</v>
      </c>
      <c r="AJ25" s="325"/>
      <c r="AK25" s="325"/>
      <c r="AL25" s="631"/>
      <c r="AM25" s="325">
        <f>k.w2C.sd2C*M.w2C*Molweight</f>
        <v>3.6311697981131544E-4</v>
      </c>
      <c r="AN25" s="326">
        <f>k.sd2C.w2C*M.sd2C*Molweight</f>
        <v>2.923235959849517E-4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0.15002873489220825</v>
      </c>
      <c r="AT25" s="75"/>
      <c r="AU25" s="75"/>
      <c r="AV25" s="87"/>
      <c r="AW25" s="75"/>
      <c r="AX25" s="289">
        <f>output!AD14</f>
        <v>5.2458322021740624E-5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1.2529051166193244E-5</v>
      </c>
      <c r="AG26" s="326">
        <f>KDEG.sd1C*M.sd1C*Molweight</f>
        <v>4.2134211403152274E-5</v>
      </c>
      <c r="AH26" s="325"/>
      <c r="AI26" s="325"/>
      <c r="AJ26" s="325"/>
      <c r="AK26" s="325"/>
      <c r="AL26" s="631"/>
      <c r="AM26" s="325">
        <f>k.w1C.sd1C*M.w1C*Molweight</f>
        <v>3.1959608461128012E-4</v>
      </c>
      <c r="AN26" s="326">
        <f>k.sd1C.w1C*M.sd1C*Molweight</f>
        <v>2.6493282204193458E-4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0.14150651111422813</v>
      </c>
      <c r="AT26" s="75"/>
      <c r="AU26" s="285">
        <f>output!AD15</f>
        <v>0.15005309350042662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103300.39874087878</v>
      </c>
      <c r="D27" s="122">
        <f>C27/$C$51</f>
        <v>8.8361773404828196E-3</v>
      </c>
      <c r="E27" s="318">
        <f>M.w2C*Molweight</f>
        <v>1467365.9381754312</v>
      </c>
      <c r="F27" s="122">
        <f>E27/$E$51</f>
        <v>0.76126859804684643</v>
      </c>
      <c r="G27" s="318">
        <f>M.w2M*Molweight</f>
        <v>136266.53337303139</v>
      </c>
      <c r="H27" s="122">
        <f>G27/$G$51</f>
        <v>0.25859152453845041</v>
      </c>
      <c r="I27" s="318">
        <f>M.w2A*Molweight</f>
        <v>25760.396941859231</v>
      </c>
      <c r="J27" s="122">
        <f>I27/$I$51</f>
        <v>9.8691131937276327E-2</v>
      </c>
      <c r="K27" s="318">
        <f>M.w2T*Molweight</f>
        <v>279.12195496035804</v>
      </c>
      <c r="L27" s="123">
        <f>K27/$K$51</f>
        <v>9.4852032521744678E-2</v>
      </c>
      <c r="M27" s="320">
        <f>C.w2R*Molweight</f>
        <v>1.0330039874087867E-5</v>
      </c>
      <c r="N27" s="320">
        <f>C.w2C*Molweight</f>
        <v>1.9757661262497695E-9</v>
      </c>
      <c r="O27" s="320">
        <f>C.w2M*Molweight</f>
        <v>3.5133288773751121E-11</v>
      </c>
      <c r="P27" s="320">
        <f>C.w2A*Molweight</f>
        <v>1.0102116447787935E-11</v>
      </c>
      <c r="Q27" s="320">
        <f>C.w2T*Molweight</f>
        <v>3.1274168623009308E-14</v>
      </c>
      <c r="R27" s="120" t="s">
        <v>1489</v>
      </c>
      <c r="S27" s="325">
        <f>F.w2R</f>
        <v>5.3663947424654128E-9</v>
      </c>
      <c r="T27" s="325">
        <f>F.w2C</f>
        <v>1.0263988408064332E-12</v>
      </c>
      <c r="U27" s="325">
        <f>F.w2M</f>
        <v>1.8251536146913952E-14</v>
      </c>
      <c r="V27" s="325">
        <f>F.w2A</f>
        <v>1.5339573525852034E-16</v>
      </c>
      <c r="W27" s="326">
        <f>F.w2T</f>
        <v>1.025302155384293E-16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6.1118367353615268E-6</v>
      </c>
      <c r="AG27" s="326">
        <f>KDEG.sd2C*M.sd2C*Molweight</f>
        <v>6.4681547091002288E-5</v>
      </c>
      <c r="AH27" s="325"/>
      <c r="AI27" s="325"/>
      <c r="AJ27" s="325"/>
      <c r="AK27" s="325"/>
      <c r="AL27" s="631"/>
      <c r="AM27" s="325">
        <f>k.w2C.sd2C*M.w2C*Molweight</f>
        <v>3.6311697981131544E-4</v>
      </c>
      <c r="AN27" s="326">
        <f>k.sd2C.w2C*M.sd2C*Molweight</f>
        <v>2.923235959849517E-4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1.9006573671695249E-3</v>
      </c>
      <c r="BB27" s="264">
        <f>IF(ISERROR(output!D15),0,output!D15)</f>
        <v>1.8718094338635539E-3</v>
      </c>
      <c r="BC27" s="86"/>
      <c r="BD27" s="295">
        <f>output!AG18</f>
        <v>2.0758990548956E-2</v>
      </c>
      <c r="BE27" s="75"/>
      <c r="BF27" s="295">
        <f>output!AG19</f>
        <v>0.35105053907443129</v>
      </c>
      <c r="BG27" s="75"/>
      <c r="BH27" s="256">
        <f>output!AG20</f>
        <v>7.6879694519654089E-3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103221.82766092097</v>
      </c>
      <c r="D28" s="122">
        <f>C28/$C$51</f>
        <v>8.8294564758510975E-3</v>
      </c>
      <c r="E28" s="318">
        <f>FRw.w2C*E27</f>
        <v>1466249.8483262046</v>
      </c>
      <c r="F28" s="122">
        <f>E28/$E$51</f>
        <v>0.76068957128010029</v>
      </c>
      <c r="G28" s="318">
        <f>FRw.w2M*G27</f>
        <v>136162.88799683025</v>
      </c>
      <c r="H28" s="122">
        <f>G28/$G$51</f>
        <v>0.25839483783057154</v>
      </c>
      <c r="I28" s="318">
        <f>FRw.w2A*I27</f>
        <v>25740.80338527538</v>
      </c>
      <c r="J28" s="122">
        <f>I28/$I$51</f>
        <v>9.8616066701197019E-2</v>
      </c>
      <c r="K28" s="318">
        <f>FRw.w2T*K27</f>
        <v>278.90965264876502</v>
      </c>
      <c r="L28" s="123">
        <f>K28/$K$51</f>
        <v>9.4779887334288812E-2</v>
      </c>
      <c r="M28" s="320">
        <f>M27*FRw.w2R</f>
        <v>1.0322182766092085E-5</v>
      </c>
      <c r="N28" s="320">
        <f>N27*FRw.w2C</f>
        <v>1.974263343296599E-9</v>
      </c>
      <c r="O28" s="320">
        <f>O27*FRw.w2M</f>
        <v>3.510656612335412E-11</v>
      </c>
      <c r="P28" s="320">
        <f>P27*FRw.w2A</f>
        <v>1.0094432700107993E-11</v>
      </c>
      <c r="Q28" s="320">
        <f>Q27*FRw.w2T</f>
        <v>3.1250381249161351E-14</v>
      </c>
      <c r="R28" s="120" t="s">
        <v>1489</v>
      </c>
      <c r="S28" s="325">
        <f>S27*FRw.w2R</f>
        <v>5.3623130212374718E-9</v>
      </c>
      <c r="T28" s="325">
        <f>T27*FRw.w2C</f>
        <v>1.0256181539323013E-12</v>
      </c>
      <c r="U28" s="325">
        <f>U27*FRw.w2M</f>
        <v>1.8237653887760728E-14</v>
      </c>
      <c r="V28" s="325">
        <f>V27*FRw.w2A</f>
        <v>1.5327906127926089E-16</v>
      </c>
      <c r="W28" s="326">
        <f>W27*FRw.w2T</f>
        <v>1.024522302657551E-16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3.5418893417661096E-6</v>
      </c>
      <c r="AG28" s="326">
        <f>KDEG.s1C*M.s1C*Molweight</f>
        <v>5.0137718000697537E-3</v>
      </c>
      <c r="AH28" s="325"/>
      <c r="AI28" s="325"/>
      <c r="AJ28" s="325">
        <f>k.aC.s1C*M.aC*Molweight</f>
        <v>5.5506431960220754E-3</v>
      </c>
      <c r="AK28" s="325">
        <f>k.s1C.aC*M.s1C*Molweight</f>
        <v>4.8770384173062363E-6</v>
      </c>
      <c r="AL28" s="631">
        <f>(k.s1C.w1C+k.s1C.w0C)*M.s1C*Molweight</f>
        <v>5.2845246819324828E-4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78.571079957814106</v>
      </c>
      <c r="D29" s="122">
        <f>C29/$C$51</f>
        <v>6.7208646317234403E-6</v>
      </c>
      <c r="E29" s="318">
        <f>(1-FRw.w2C)*E27</f>
        <v>1116.0898492265967</v>
      </c>
      <c r="F29" s="122">
        <f>E29/$E$51</f>
        <v>5.7902676674607945E-4</v>
      </c>
      <c r="G29" s="318">
        <f>(1-FRw.w2M)*G27</f>
        <v>103.64537620114429</v>
      </c>
      <c r="H29" s="122">
        <f>G29/$G$51</f>
        <v>1.9668670787892443E-4</v>
      </c>
      <c r="I29" s="318">
        <f>(1-FRw.w2A)*I27</f>
        <v>19.593556583851701</v>
      </c>
      <c r="J29" s="122">
        <f>I29/$I$51</f>
        <v>7.5065236079309951E-5</v>
      </c>
      <c r="K29" s="318">
        <f>(1-FRw.w2T)*K27</f>
        <v>0.21230231159304344</v>
      </c>
      <c r="L29" s="123">
        <f>K29/$K$51</f>
        <v>7.2145187455873572E-5</v>
      </c>
      <c r="M29" s="320">
        <f>M28*Kp.susp2R</f>
        <v>1.0263884731833311E-3</v>
      </c>
      <c r="N29" s="320">
        <f>N28*Kp.susp2C</f>
        <v>1.9631130202853236E-7</v>
      </c>
      <c r="O29" s="320">
        <f>O28*Kp.susp2M</f>
        <v>3.490828986328921E-9</v>
      </c>
      <c r="P29" s="320">
        <f>P28*Kp.susp2A</f>
        <v>1.0037420961727721E-9</v>
      </c>
      <c r="Q29" s="320">
        <f>Q28*Kp.susp2T</f>
        <v>3.1073884103359207E-12</v>
      </c>
      <c r="R29" s="120" t="s">
        <v>1494</v>
      </c>
      <c r="S29" s="325">
        <f>S27*(1-FRw.w2R)</f>
        <v>4.0817212279412761E-12</v>
      </c>
      <c r="T29" s="325">
        <f>T27*(1-FRw.w2C)</f>
        <v>7.8068687413203995E-16</v>
      </c>
      <c r="U29" s="325">
        <f>U27*(1-FRw.w2M)</f>
        <v>1.3882259153222616E-17</v>
      </c>
      <c r="V29" s="325">
        <f>V27*(1-FRw.w2A)</f>
        <v>1.1667397925943722E-19</v>
      </c>
      <c r="W29" s="326">
        <f>W27*(1-FRw.w2T)</f>
        <v>7.7985272674207986E-20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3.7837352600604632E-6</v>
      </c>
      <c r="AG29" s="326">
        <f>KDEG.s2C*M.s2C*Molweight</f>
        <v>1.1761256500800741E-2</v>
      </c>
      <c r="AH29" s="325"/>
      <c r="AI29" s="325"/>
      <c r="AJ29" s="325">
        <f>k.aC.s2C*M.aC*Molweight</f>
        <v>1.2334762657826834E-2</v>
      </c>
      <c r="AK29" s="325">
        <f>k.s2C.aC*M.s2C*Molweight</f>
        <v>5.1886535289156112E-6</v>
      </c>
      <c r="AL29" s="631">
        <f>(k.s2C.w1C+k.s2C.w0C)*M.s2C*Molweight</f>
        <v>5.6453376823711681E-4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1.3127261425269444E-6</v>
      </c>
      <c r="AG30" s="326">
        <f>KDEG.s3C*M.s3C*Molweight</f>
        <v>1.8568220001405427E-3</v>
      </c>
      <c r="AH30" s="325"/>
      <c r="AI30" s="325"/>
      <c r="AJ30" s="325">
        <f>k.aC.s3C*M.aC*Molweight</f>
        <v>2.0557937763044714E-3</v>
      </c>
      <c r="AK30" s="325">
        <f>k.s3C.aC*M.s3C*Molweight</f>
        <v>1.8001473844693268E-6</v>
      </c>
      <c r="AL30" s="631">
        <f>(k.s3C.w1C+k.s3C.w0C)*M.s3C*Molweight</f>
        <v>1.9585890263693246E-4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0.17665894154563999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356810.20591548987</v>
      </c>
      <c r="H31" s="122">
        <f>G31/$G$51</f>
        <v>0.67711486330968629</v>
      </c>
      <c r="I31" s="318">
        <f>M.w3A*Molweight</f>
        <v>232512.67307462104</v>
      </c>
      <c r="J31" s="122">
        <f>I31/$I$51</f>
        <v>0.89078359107924709</v>
      </c>
      <c r="K31" s="318">
        <f>M.w3T*Molweight</f>
        <v>2364.5883167849674</v>
      </c>
      <c r="L31" s="123">
        <f>K31/$K$51</f>
        <v>0.80354126194078568</v>
      </c>
      <c r="M31" s="320"/>
      <c r="N31" s="320"/>
      <c r="O31" s="320">
        <f>C.w3M*Molweight</f>
        <v>3.0665186556441011E-12</v>
      </c>
      <c r="P31" s="320">
        <f>C.w3A*Molweight</f>
        <v>3.039381347380667E-12</v>
      </c>
      <c r="Q31" s="320">
        <f>C.w3T*Molweight</f>
        <v>8.8313289142295717E-15</v>
      </c>
      <c r="R31" s="120" t="s">
        <v>1489</v>
      </c>
      <c r="S31" s="325"/>
      <c r="T31" s="325"/>
      <c r="U31" s="325">
        <f>F.w3M</f>
        <v>1.5930383417589348E-15</v>
      </c>
      <c r="V31" s="325">
        <f>F.w3A</f>
        <v>4.6151530614614915E-17</v>
      </c>
      <c r="W31" s="326">
        <f>F.w3T</f>
        <v>2.8952905766471272E-17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0.17911622243567785</v>
      </c>
      <c r="AY31" s="75"/>
      <c r="AZ31" s="75"/>
      <c r="BA31" s="87"/>
      <c r="BB31" s="2"/>
      <c r="BC31" s="86"/>
      <c r="BD31" s="277">
        <f>IF(ISERROR(output!D39),0,output!D39)</f>
        <v>4.0862400252162326E-2</v>
      </c>
      <c r="BE31" s="75"/>
      <c r="BF31" s="277">
        <f>IF(ISERROR(output!D43),0,output!D43)</f>
        <v>0.69101470047724367</v>
      </c>
      <c r="BG31" s="75"/>
      <c r="BH31" s="273">
        <f>IF(ISERROR(output!D47),0,output!D47)</f>
        <v>1.5133148412575707E-2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356538.81332107139</v>
      </c>
      <c r="H32" s="122">
        <f>G32/$G$51</f>
        <v>0.67659984452259347</v>
      </c>
      <c r="I32" s="318">
        <f>FRw.w3A*I31</f>
        <v>232335.82214229138</v>
      </c>
      <c r="J32" s="122">
        <f>I32/$I$51</f>
        <v>0.89010605420995237</v>
      </c>
      <c r="K32" s="318">
        <f>FRw.w3T*K31</f>
        <v>2362.7897926749934</v>
      </c>
      <c r="L32" s="123">
        <f>K32/$K$51</f>
        <v>0.80293008225986584</v>
      </c>
      <c r="M32" s="320"/>
      <c r="N32" s="320"/>
      <c r="O32" s="320">
        <f>O31*FRw.w3M</f>
        <v>3.0641862379049489E-12</v>
      </c>
      <c r="P32" s="320">
        <f>P31*FRw.w3A</f>
        <v>3.0370695704874687E-12</v>
      </c>
      <c r="Q32" s="320">
        <f>Q31*FRw.w3T</f>
        <v>8.8246117373482489E-15</v>
      </c>
      <c r="R32" s="120" t="s">
        <v>1489</v>
      </c>
      <c r="S32" s="325"/>
      <c r="T32" s="325"/>
      <c r="U32" s="325">
        <f>U31*FRw.w3M</f>
        <v>1.5918266645103293E-15</v>
      </c>
      <c r="V32" s="325">
        <f>V31*FRw.w3A</f>
        <v>4.6116427404498638E-17</v>
      </c>
      <c r="W32" s="326">
        <f>W31*FRw.w3T</f>
        <v>2.8930883963054084E-17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8.6626589654279287E-3</v>
      </c>
      <c r="AE32" s="325">
        <f>(k.aM.aA+k.aM.aC+k.aM.aT)*M.aM*Molweight</f>
        <v>5.4883181033456838E-4</v>
      </c>
      <c r="AF32" s="325">
        <f>kesc.aM*M.aM*Molweight</f>
        <v>1.7263982416573506E-7</v>
      </c>
      <c r="AG32" s="326">
        <f>KDEG.aM*M.aM*Molweight</f>
        <v>4.2629622737517135E-3</v>
      </c>
      <c r="AH32" s="325">
        <f>AH33</f>
        <v>2.2503213937720623E-3</v>
      </c>
      <c r="AI32" s="325">
        <f>AI33</f>
        <v>2.5029527562370421E-7</v>
      </c>
      <c r="AJ32" s="325">
        <f>AJ36</f>
        <v>1.6020287557086703E-3</v>
      </c>
      <c r="AK32" s="325">
        <f>AK36</f>
        <v>1.4076126876286823E-6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4.52723554923204E-2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271.39259441847508</v>
      </c>
      <c r="H33" s="122">
        <f>G33/$G$51</f>
        <v>5.1501878709279741E-4</v>
      </c>
      <c r="I33" s="318">
        <f>(1-FRw.w3A)*I31</f>
        <v>176.85093232967057</v>
      </c>
      <c r="J33" s="122">
        <f>I33/$I$51</f>
        <v>6.7753686929476905E-4</v>
      </c>
      <c r="K33" s="318">
        <f>(1-FRw.w3T)*K31</f>
        <v>1.7985241099742557</v>
      </c>
      <c r="L33" s="123">
        <f>K33/$K$51</f>
        <v>6.1117968091993469E-4</v>
      </c>
      <c r="M33" s="320"/>
      <c r="N33" s="320"/>
      <c r="O33" s="320">
        <f>O32*Kp.susp3M</f>
        <v>3.0468802050317994E-10</v>
      </c>
      <c r="P33" s="320">
        <f>P32*Kp.susp3A</f>
        <v>3.0199166882067775E-10</v>
      </c>
      <c r="Q33" s="320">
        <f>Q32*Kp.susp3T</f>
        <v>8.7747717442922962E-13</v>
      </c>
      <c r="R33" s="120" t="s">
        <v>1494</v>
      </c>
      <c r="S33" s="325"/>
      <c r="T33" s="325"/>
      <c r="U33" s="325">
        <f>U31*(1-FRw.w3M)</f>
        <v>1.2116772486055562E-18</v>
      </c>
      <c r="V33" s="325">
        <f>V31*(1-FRw.w3A)</f>
        <v>3.5103210116278453E-20</v>
      </c>
      <c r="W33" s="326">
        <f>W31*(1-FRw.w3T)</f>
        <v>2.2021803417185135E-20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4.9470349893457381E-2</v>
      </c>
      <c r="AE33" s="325">
        <f>(k.w2M.w2C+k.w2M.w2A+k.w2M.w2T+k.w2M.w3M)*M.w2M*Molweight</f>
        <v>4.0042521849568698E-2</v>
      </c>
      <c r="AF33" s="330"/>
      <c r="AG33" s="326">
        <f>KDEG.w2M*M.w2M*Molweight</f>
        <v>1.1830421295255173E-2</v>
      </c>
      <c r="AH33" s="325">
        <f>k.aM.w2M*M.aM*Molweight</f>
        <v>2.2503213937720623E-3</v>
      </c>
      <c r="AI33" s="325">
        <f>k.w2M.aM*M.w2M*Molweight</f>
        <v>2.5029527562370421E-7</v>
      </c>
      <c r="AJ33" s="325"/>
      <c r="AK33" s="325"/>
      <c r="AL33" s="325">
        <f>AL36</f>
        <v>1.5252215287005422E-4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8.9683593382900838E-3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3.4401517810474347E-2</v>
      </c>
      <c r="AE34" s="325">
        <f>(k.w3M.w2M+k.w3M.w3A+k.w3M.w3T)*M.w3M*Molweight</f>
        <v>3.4228330231486867E-3</v>
      </c>
      <c r="AF34" s="330"/>
      <c r="AG34" s="326">
        <f>KDEG.w3M*M.w3M*Molweight</f>
        <v>3.0977635916453274E-2</v>
      </c>
      <c r="AH34" s="325"/>
      <c r="AI34" s="325"/>
      <c r="AJ34" s="325"/>
      <c r="AK34" s="325"/>
      <c r="AL34" s="325"/>
      <c r="AM34" s="325">
        <f>k.w3M.sdM*M.w3M*Molweight</f>
        <v>5.8864591291153995E-6</v>
      </c>
      <c r="AN34" s="326">
        <f>k.sdM.w3M*M.sdM*Molweight</f>
        <v>4.8375882567166278E-6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5.4632347395166439E-2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9421.8458894317973</v>
      </c>
      <c r="D35" s="122">
        <f>C35/$C$51</f>
        <v>8.0593204061634404E-4</v>
      </c>
      <c r="E35" s="318">
        <f>M.sd2C*Molweight</f>
        <v>6691.7920460162695</v>
      </c>
      <c r="F35" s="122">
        <f>E35/$E$51</f>
        <v>3.4716978340291822E-3</v>
      </c>
      <c r="G35" s="318">
        <f>M.sdM*Molweight</f>
        <v>108.48008374569207</v>
      </c>
      <c r="H35" s="122">
        <f>G35/$G$51</f>
        <v>2.0586148002359829E-4</v>
      </c>
      <c r="I35" s="318">
        <f>M.sdA*Molweight</f>
        <v>82.136924459419674</v>
      </c>
      <c r="J35" s="122">
        <f>I35/$I$51</f>
        <v>3.1467628651228499E-4</v>
      </c>
      <c r="K35" s="318">
        <f>M.sdT*Molweight</f>
        <v>0.57034002340963974</v>
      </c>
      <c r="L35" s="123">
        <f>K35/$K$51</f>
        <v>1.9381460142247486E-4</v>
      </c>
      <c r="M35" s="320">
        <f>C.sd2R*(Molweight*1000)/(FRACw.sdR*1000+FRACs.sdR*RHOsolid)</f>
        <v>2.415857920367125E-4</v>
      </c>
      <c r="N35" s="320">
        <f>C.sd2C*(Molweight*1000)/(FRACw.sdC*1000+FRACs.sdC*RHOsolid)</f>
        <v>4.6206697196462169E-8</v>
      </c>
      <c r="O35" s="320">
        <f>C.sdM*(Molweight*1000)/(FRACw.sdM*1000+FRACs.sdM*RHOsolid)</f>
        <v>7.1715825616263657E-11</v>
      </c>
      <c r="P35" s="320">
        <f>C.sdA*(Molweight*1000)/(FRACw.sdA*1000+FRACs.sdA*RHOsolid)</f>
        <v>8.2591175927018271E-11</v>
      </c>
      <c r="Q35" s="320">
        <f>C.sdT*(Molweight*1000)/(FRACw.sdT*1000+FRACs.sdT*RHOsolid)</f>
        <v>1.6385549763977295E-13</v>
      </c>
      <c r="R35" s="120" t="s">
        <v>1495</v>
      </c>
      <c r="S35" s="325">
        <f>F.sd2R</f>
        <v>6.219850555194154E-9</v>
      </c>
      <c r="T35" s="325">
        <f>F.sd2C</f>
        <v>1.1896343273673519E-12</v>
      </c>
      <c r="U35" s="325">
        <f>F.sdM</f>
        <v>1.8463905265908148E-15</v>
      </c>
      <c r="V35" s="325">
        <f>F.sdA</f>
        <v>6.2153058940674387E-17</v>
      </c>
      <c r="W35" s="326">
        <f>F.sdT</f>
        <v>2.6622881393534626E-17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3.2369744434554429E-10</v>
      </c>
      <c r="AG35" s="326">
        <f>KDEG.sdM*M.sdM*Molweight</f>
        <v>1.0485471749544255E-6</v>
      </c>
      <c r="AH35" s="325"/>
      <c r="AI35" s="325"/>
      <c r="AJ35" s="325"/>
      <c r="AK35" s="325"/>
      <c r="AL35" s="325"/>
      <c r="AM35" s="325">
        <f>k.w3M.sdM*M.w3M*Molweight</f>
        <v>5.8864591291153995E-6</v>
      </c>
      <c r="AN35" s="326">
        <f>k.sdM.w3M*M.sdM*Molweight</f>
        <v>4.8375882567166278E-6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7.2025002352521066E-3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7537.4767115454379</v>
      </c>
      <c r="D36" s="122">
        <f>C36/$C$51</f>
        <v>6.4474563249307523E-4</v>
      </c>
      <c r="E36" s="318">
        <f>E35*FRACw.sdC</f>
        <v>5353.4336368130162</v>
      </c>
      <c r="F36" s="122">
        <f>E36/$E$51</f>
        <v>2.7773582672233461E-3</v>
      </c>
      <c r="G36" s="318">
        <f>G35*FRACw.sdM</f>
        <v>86.784066996553662</v>
      </c>
      <c r="H36" s="122">
        <f>G36/$G$51</f>
        <v>1.6468918401887865E-4</v>
      </c>
      <c r="I36" s="318">
        <f>I35*FRACw.sdA</f>
        <v>65.709539567535742</v>
      </c>
      <c r="J36" s="122">
        <f>I36/$I$51</f>
        <v>2.5174102920982801E-4</v>
      </c>
      <c r="K36" s="318">
        <f>K35*FRACw.sdT</f>
        <v>0.45627201872771184</v>
      </c>
      <c r="L36" s="123">
        <f>K36/$K$51</f>
        <v>1.5505168113797991E-4</v>
      </c>
      <c r="M36" s="320">
        <f>M37/Kp.sd2R</f>
        <v>1.1972899372755614E-5</v>
      </c>
      <c r="N36" s="320">
        <f>N37/Kp.sd2C</f>
        <v>2.2899862248379213E-9</v>
      </c>
      <c r="O36" s="320">
        <f>O37/Kp.sdM</f>
        <v>3.5542088642660332E-12</v>
      </c>
      <c r="P36" s="320">
        <f>P37/Kp.sdA</f>
        <v>4.0931870625134883E-12</v>
      </c>
      <c r="Q36" s="320">
        <f>Q37/Kp.sdT</f>
        <v>8.1206157380963372E-15</v>
      </c>
      <c r="R36" s="120" t="s">
        <v>1489</v>
      </c>
      <c r="S36" s="325">
        <f>S35*FRACw.sdR</f>
        <v>4.9758804441553239E-9</v>
      </c>
      <c r="T36" s="325">
        <f>T35*FRACw.sdC</f>
        <v>9.5170746189388153E-13</v>
      </c>
      <c r="U36" s="325">
        <f>U35*FRACw.sdM</f>
        <v>1.477112421272652E-15</v>
      </c>
      <c r="V36" s="325">
        <f>V35*FRACw.sdA</f>
        <v>4.9722447152539509E-17</v>
      </c>
      <c r="W36" s="326">
        <f>W35*FRACw.sdT</f>
        <v>2.1298305114827702E-17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1.0222614523509349E-6</v>
      </c>
      <c r="AG36" s="326">
        <f>KDEG.sM*M.sM*Molweight</f>
        <v>1.4470767286986362E-3</v>
      </c>
      <c r="AH36" s="325"/>
      <c r="AI36" s="325"/>
      <c r="AJ36" s="325">
        <f>k.aM.sM*M.aM*Molweight</f>
        <v>1.6020287557086703E-3</v>
      </c>
      <c r="AK36" s="325">
        <f>k.sM.aM*M.sM*Molweight</f>
        <v>1.4076126876286823E-6</v>
      </c>
      <c r="AL36" s="325">
        <f>k.sM.w2M*M.sM*Molweight</f>
        <v>1.5252215287005422E-4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1884.369177886359</v>
      </c>
      <c r="D37" s="122">
        <f>C37/$C$51</f>
        <v>1.6118640812326875E-4</v>
      </c>
      <c r="E37" s="318">
        <f>E35*FRACs.sdC</f>
        <v>1338.3584092032536</v>
      </c>
      <c r="F37" s="122">
        <f>E37/$E$51</f>
        <v>6.943395668058363E-4</v>
      </c>
      <c r="G37" s="318">
        <f>G35*FRACs.sdM</f>
        <v>21.696016749138408</v>
      </c>
      <c r="H37" s="122">
        <f>G37/$G$51</f>
        <v>4.1172296004719648E-5</v>
      </c>
      <c r="I37" s="318">
        <f>I35*FRACs.sdA</f>
        <v>16.427384891883932</v>
      </c>
      <c r="J37" s="122">
        <f>I37/$I$51</f>
        <v>6.2935257302456989E-5</v>
      </c>
      <c r="K37" s="318">
        <f>K35*FRACs.sdT</f>
        <v>0.11406800468192792</v>
      </c>
      <c r="L37" s="123">
        <f>K37/$K$51</f>
        <v>3.8762920284494964E-5</v>
      </c>
      <c r="M37" s="320">
        <f>C.sd2R*FRACs.sdR/(FRACw.sdR/(Kp.sd2R*RHOsolid/1000)+FRACs.sdR)*(Molweight*1000)/(FRACs.sdR*RHOsolid)</f>
        <v>6.0896642029904368E-4</v>
      </c>
      <c r="N37" s="320">
        <f>C.sd2C*FRACs.sdC/(FRACw.sdC/(Kp.sd2C*RHOsolid/1000)+FRACs.sdC)*(Molweight*1000)/(FRACs.sdC*RHOsolid)</f>
        <v>1.1647343475106098E-7</v>
      </c>
      <c r="O37" s="320">
        <f>C.sdM*FRACs.sdM/(FRACw.sdM/(Kp.sdM*RHOsolid/1000)+FRACs.sdM)*(Molweight*1000)/(FRACs.sdM*RHOsolid)</f>
        <v>1.8077441241945988E-10</v>
      </c>
      <c r="P37" s="320">
        <f>C.sdA*FRACs.sdA/(FRACw.sdA/(Kp.sdA*RHOsolid/1000)+FRACs.sdA)*(Molweight*1000)/(FRACs.sdA*RHOsolid)</f>
        <v>2.0818795811022598E-10</v>
      </c>
      <c r="Q37" s="320">
        <f>C.sdT*FRACs.sdT/(FRACw.sdT/(Kp.sdT*RHOsolid/1000)+FRACs.sdT)*(Molweight*1000)/(FRACs.sdT*RHOsolid)</f>
        <v>4.1303130868245556E-13</v>
      </c>
      <c r="R37" s="120" t="s">
        <v>1494</v>
      </c>
      <c r="S37" s="325">
        <f>S35*(1-FRACw.sdR)</f>
        <v>1.2439701110388306E-9</v>
      </c>
      <c r="T37" s="325">
        <f>T35*(1-FRACw.sdC)</f>
        <v>2.3792686547347033E-13</v>
      </c>
      <c r="U37" s="325">
        <f>U35*(1-FRACw.sdM)</f>
        <v>3.6927810531816289E-16</v>
      </c>
      <c r="V37" s="325">
        <f>V35*(1-FRACw.sdA)</f>
        <v>1.2430611788134874E-17</v>
      </c>
      <c r="W37" s="326">
        <f>W35*(1-FRACw.sdT)</f>
        <v>5.3245762787069239E-18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8.8361773404828196E-3</v>
      </c>
      <c r="AW37" s="75"/>
      <c r="AX37" s="75"/>
      <c r="AY37" s="300">
        <f>IF(ISERROR(output!D23),0,output!D23)</f>
        <v>6.3739366689845894E-2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1.7876500238978135E-4</v>
      </c>
      <c r="AE38" s="325">
        <f>k.aA.aM*M.aA*Molweight</f>
        <v>7.4175754009327659E-6</v>
      </c>
      <c r="AF38" s="325">
        <f>kesc.aA*M.aA*Molweight</f>
        <v>3.9247227954803783E-9</v>
      </c>
      <c r="AG38" s="326">
        <f>KDEG.aA*M.aA*Molweight</f>
        <v>8.0074353879963045E-5</v>
      </c>
      <c r="AH38" s="325">
        <f>AH39</f>
        <v>6.1753433551033754E-5</v>
      </c>
      <c r="AI38" s="325">
        <f>AI39</f>
        <v>1.4987940270341593E-9</v>
      </c>
      <c r="AJ38" s="325">
        <f>AJ42</f>
        <v>2.9520768830675443E-5</v>
      </c>
      <c r="AK38" s="325">
        <f>AK42</f>
        <v>3.5552015920584015E-9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477706.82693508588</v>
      </c>
      <c r="D39" s="122">
        <f>C39/$C$51</f>
        <v>4.0862400252162326E-2</v>
      </c>
      <c r="E39" s="318">
        <f>M.s1C*Molweight</f>
        <v>115377.1428306946</v>
      </c>
      <c r="F39" s="122">
        <f>E39/$E$51</f>
        <v>5.9857594812775833E-2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9.1066685412579028E-5</v>
      </c>
      <c r="N39" s="320">
        <f>C.s1C*(Molweight*1000)/(FRACw.s1C*1000+(1-FRACa.s1C-FRACw.s1C)*RHOsolid)</f>
        <v>1.4422137806088587E-6</v>
      </c>
      <c r="O39" s="320"/>
      <c r="P39" s="320"/>
      <c r="Q39" s="320"/>
      <c r="R39" s="120" t="s">
        <v>1495</v>
      </c>
      <c r="S39" s="325">
        <f>F.s1R</f>
        <v>2.5981016698727181E-9</v>
      </c>
      <c r="T39" s="325">
        <f>F.s1C</f>
        <v>4.1145870355744237E-11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7.3568816704889404E-3</v>
      </c>
      <c r="AE39" s="325">
        <f>(k.w2A.w2M+k.w2A.w3A)*M.w2A*Molweight</f>
        <v>6.9362764195796435E-3</v>
      </c>
      <c r="AF39" s="330"/>
      <c r="AG39" s="326">
        <f>KDEG.w2A*M.w2A*Molweight</f>
        <v>4.8674058907868323E-4</v>
      </c>
      <c r="AH39" s="325">
        <f>k.aA.w2A*M.aA*Molweight</f>
        <v>6.1753433551033754E-5</v>
      </c>
      <c r="AI39" s="325">
        <f>k.w2A.aA*M.w2A*Molweight</f>
        <v>1.4987940270341593E-9</v>
      </c>
      <c r="AJ39" s="325"/>
      <c r="AK39" s="325"/>
      <c r="AL39" s="325">
        <f>AL42</f>
        <v>4.3834034123800691E-6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3086.44481983471</v>
      </c>
      <c r="D40" s="122">
        <f>C40/$C$51</f>
        <v>2.6401034373627855E-4</v>
      </c>
      <c r="E40" s="318">
        <f>E39*FRw.s1C</f>
        <v>745.44713355230499</v>
      </c>
      <c r="F40" s="122">
        <f>E40/$E$51</f>
        <v>3.8673754072759297E-4</v>
      </c>
      <c r="G40" s="318"/>
      <c r="H40" s="122"/>
      <c r="I40" s="318"/>
      <c r="J40" s="122"/>
      <c r="K40" s="318"/>
      <c r="L40" s="123"/>
      <c r="M40" s="320">
        <f>M41/Kp.s1R</f>
        <v>5.001214993436987E-6</v>
      </c>
      <c r="N40" s="320">
        <f>N41/Kp.s1C</f>
        <v>7.92037302186268E-8</v>
      </c>
      <c r="O40" s="320"/>
      <c r="P40" s="320"/>
      <c r="Q40" s="320"/>
      <c r="R40" s="120" t="s">
        <v>1489</v>
      </c>
      <c r="S40" s="325">
        <f>S39*FRACw.s1R</f>
        <v>5.1962033397454363E-10</v>
      </c>
      <c r="T40" s="325">
        <f>T39*FRACw.s1C</f>
        <v>8.2291740711488483E-12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6.9362764195796435E-3</v>
      </c>
      <c r="AE40" s="325">
        <f>(k.w3A.w2A+k.w3A.w3M)*M.w3A*Molweight</f>
        <v>2.5427955565333711E-3</v>
      </c>
      <c r="AF40" s="330"/>
      <c r="AG40" s="326">
        <f>KDEG.w3A*M.w3A*Molweight</f>
        <v>4.3933079026705459E-3</v>
      </c>
      <c r="AH40" s="325"/>
      <c r="AI40" s="325"/>
      <c r="AJ40" s="325"/>
      <c r="AK40" s="325"/>
      <c r="AL40" s="325"/>
      <c r="AM40" s="325">
        <f>k.w3A.sdA*M.w3A*Molweight</f>
        <v>3.835866587794007E-6</v>
      </c>
      <c r="AN40" s="326">
        <f>k.sdA.w3A*M.sdA*Molweight</f>
        <v>3.6629062120683418E-6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4.1157395970887079E-4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474620.38196353073</v>
      </c>
      <c r="D41" s="122">
        <f>C41/$C$51</f>
        <v>4.0598389895448082E-2</v>
      </c>
      <c r="E41" s="318">
        <f>E39*FRs.s1C</f>
        <v>114631.69566049834</v>
      </c>
      <c r="F41" s="122">
        <f>E41/$E$51</f>
        <v>5.9470857253037378E-2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1.0254208143568533E-4</v>
      </c>
      <c r="N41" s="320">
        <f>C.s1C*FRs.s1C*(Molweight*1000)/(FRACs.s1C*RHOsolid)</f>
        <v>1.6239484534751005E-6</v>
      </c>
      <c r="O41" s="320"/>
      <c r="P41" s="320"/>
      <c r="Q41" s="320"/>
      <c r="R41" s="120" t="s">
        <v>1494</v>
      </c>
      <c r="S41" s="325">
        <f>S39*(1-FRACw.s1R)</f>
        <v>2.0784813358981745E-9</v>
      </c>
      <c r="T41" s="325">
        <f>T39*(1-FRACw.s1C)</f>
        <v>3.2916696284595393E-11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1.7363631925295704E-10</v>
      </c>
      <c r="AG41" s="326">
        <f>KDEG.sdA*M.sdA*Molweight</f>
        <v>1.72786739406412E-7</v>
      </c>
      <c r="AH41" s="325"/>
      <c r="AI41" s="325"/>
      <c r="AJ41" s="325"/>
      <c r="AK41" s="325"/>
      <c r="AL41" s="325"/>
      <c r="AM41" s="325">
        <f>k.w3A.sdA*M.w3A*Molweight</f>
        <v>3.835866587794007E-6</v>
      </c>
      <c r="AN41" s="326">
        <f>k.sdA.w3A*M.sdA*Molweight</f>
        <v>3.6629062120683418E-6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2.910271793511839E-8</v>
      </c>
      <c r="AG42" s="326">
        <f>KDEG.sA*M.sA*Molweight</f>
        <v>2.5104707498768185E-5</v>
      </c>
      <c r="AH42" s="325"/>
      <c r="AI42" s="325"/>
      <c r="AJ42" s="325">
        <f>k.aA.sA*M.aA*Molweight</f>
        <v>2.9520768830675443E-5</v>
      </c>
      <c r="AK42" s="325">
        <f>k.sA.aA*M.sA*Molweight</f>
        <v>3.5552015920584015E-9</v>
      </c>
      <c r="AL42" s="325">
        <f>k.sA.w2A*M.sA*Molweight</f>
        <v>4.3834034123800691E-6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5.112580008601506E-4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8078390.840807613</v>
      </c>
      <c r="D43" s="122">
        <f>C43/$C$51</f>
        <v>0.69101470047724367</v>
      </c>
      <c r="E43" s="318">
        <f>M.s2C*Molweight</f>
        <v>270650.56513789546</v>
      </c>
      <c r="F43" s="122">
        <f>E43/$E$51</f>
        <v>0.14041335628882473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1.7325088638928162E-4</v>
      </c>
      <c r="N43" s="320">
        <f>C.s2C*(Molweight*1000)/(FRACw.s2C*1000+(1-FRACa.s2C-FRACw.s2C)*RHOsolid)</f>
        <v>3.8060222401438699E-7</v>
      </c>
      <c r="O43" s="320"/>
      <c r="P43" s="320"/>
      <c r="Q43" s="320"/>
      <c r="R43" s="120" t="s">
        <v>1495</v>
      </c>
      <c r="S43" s="325">
        <f>F.s2R</f>
        <v>4.9465854239505834E-9</v>
      </c>
      <c r="T43" s="325">
        <f>F.s2C</f>
        <v>1.0866792389174269E-11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8.0593204061634404E-4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52234.250310646959</v>
      </c>
      <c r="D44" s="122">
        <f>C44/$C$51</f>
        <v>4.4680476030863371E-3</v>
      </c>
      <c r="E44" s="318">
        <f>E43*FRw.s2C</f>
        <v>1750.0056192772129</v>
      </c>
      <c r="F44" s="122">
        <f>E44/$E$51</f>
        <v>9.0790190074726456E-4</v>
      </c>
      <c r="G44" s="318"/>
      <c r="H44" s="122"/>
      <c r="I44" s="318"/>
      <c r="J44" s="122"/>
      <c r="K44" s="318"/>
      <c r="L44" s="123"/>
      <c r="M44" s="320">
        <f>M45/Kp.s2R</f>
        <v>9.5219280582620476E-6</v>
      </c>
      <c r="N44" s="320">
        <f>N45/Kp.s2C</f>
        <v>2.0918028596612925E-8</v>
      </c>
      <c r="O44" s="320"/>
      <c r="P44" s="320"/>
      <c r="Q44" s="320"/>
      <c r="R44" s="120" t="s">
        <v>1489</v>
      </c>
      <c r="S44" s="325">
        <f>S43*FRACw.s2R</f>
        <v>9.8931708479011677E-10</v>
      </c>
      <c r="T44" s="325">
        <f>T43*FRACw.s2C</f>
        <v>2.1733584778348541E-12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3.0963006675427298E-4</v>
      </c>
      <c r="AE44" s="325">
        <f>k.aT.aM*M.aT*Molweight</f>
        <v>6.4807574432098572E-6</v>
      </c>
      <c r="AF44" s="325">
        <f>kesc.aT*M.aT*Molweight</f>
        <v>5.939274704082646E-9</v>
      </c>
      <c r="AG44" s="326">
        <f>KDEG.aT*M.aT*Molweight</f>
        <v>1.6305315182713368E-4</v>
      </c>
      <c r="AH44" s="325">
        <f>AH45</f>
        <v>1.0748544643774936E-4</v>
      </c>
      <c r="AI44" s="325">
        <f>AI45</f>
        <v>3.093751801272364E-9</v>
      </c>
      <c r="AJ44" s="325">
        <f>AJ48</f>
        <v>3.26798253785363E-5</v>
      </c>
      <c r="AK44" s="325">
        <f>AK48</f>
        <v>7.1959855258916062E-8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9.1069711131302477E-5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8026156.5879378701</v>
      </c>
      <c r="D45" s="122">
        <f>C45/$C$51</f>
        <v>0.68654665265525561</v>
      </c>
      <c r="E45" s="318">
        <f>E43*FRs.s2C</f>
        <v>268900.55943288078</v>
      </c>
      <c r="F45" s="122">
        <f>E45/$E$51</f>
        <v>0.1395054543435969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1.9508141410455024E-4</v>
      </c>
      <c r="N45" s="320">
        <f>C.s2C*FRs.s2C*(Molweight*1000)/(FRACs.s2C*RHOsolid)</f>
        <v>4.2856011660011291E-7</v>
      </c>
      <c r="O45" s="320"/>
      <c r="P45" s="320"/>
      <c r="Q45" s="320"/>
      <c r="R45" s="120" t="s">
        <v>1494</v>
      </c>
      <c r="S45" s="325">
        <f>S43*(1-FRACw.s2R)</f>
        <v>3.9572683391604671E-9</v>
      </c>
      <c r="T45" s="325">
        <f>T43*(1-FRACw.s2C)</f>
        <v>8.6934339113394162E-12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1.7911317720867372E-5</v>
      </c>
      <c r="AE45" s="325">
        <f>(k.w2T.w2M+k.w2T.w3T)*M.w2T*Molweight</f>
        <v>6.8120035721658262E-5</v>
      </c>
      <c r="AF45" s="330"/>
      <c r="AG45" s="326">
        <f>KDEG.w2T*M.w2T*Molweight</f>
        <v>5.9668345482853438E-5</v>
      </c>
      <c r="AH45" s="325">
        <f>k.aT.w2T*M.aT*Molweight</f>
        <v>1.0748544643774936E-4</v>
      </c>
      <c r="AI45" s="325">
        <f>k.w2T.aT*M.w2T*Molweight</f>
        <v>3.093751801272364E-9</v>
      </c>
      <c r="AJ45" s="325"/>
      <c r="AK45" s="325"/>
      <c r="AL45" s="325">
        <f>AL48</f>
        <v>2.3947107976962084E-6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5.2340670877482206E-4</v>
      </c>
      <c r="AE46" s="325">
        <f>(k.w3T.w2T+k.w3T.w3M)*M.w3T*Molweight</f>
        <v>1.7911317720867372E-5</v>
      </c>
      <c r="AF46" s="330"/>
      <c r="AG46" s="326">
        <f>KDEG.w3T*M.w3T*Molweight</f>
        <v>5.0548181575570659E-4</v>
      </c>
      <c r="AH46" s="325"/>
      <c r="AI46" s="325"/>
      <c r="AJ46" s="325"/>
      <c r="AK46" s="325"/>
      <c r="AL46" s="325"/>
      <c r="AM46" s="325">
        <f>k.w3T.sdT*M.w3T*Molweight</f>
        <v>3.900968148661981E-8</v>
      </c>
      <c r="AN46" s="326">
        <f>k.sdT.w3T*M.sdT*Molweight</f>
        <v>2.5434383238570232E-8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176915.89982716992</v>
      </c>
      <c r="D47" s="122">
        <f>C47/$C$51</f>
        <v>1.5133148412575707E-2</v>
      </c>
      <c r="E47" s="318">
        <f>M.s3C*Molweight</f>
        <v>42729.271627083413</v>
      </c>
      <c r="F47" s="122">
        <f>E47/$E$51</f>
        <v>2.2167921348617087E-2</v>
      </c>
      <c r="G47" s="318">
        <f>M.sM*Molweight</f>
        <v>33300.194957360058</v>
      </c>
      <c r="H47" s="122">
        <f>G47/$G$51</f>
        <v>6.3193419310655155E-2</v>
      </c>
      <c r="I47" s="318">
        <f>M.sA*Molweight</f>
        <v>2654.4611457321494</v>
      </c>
      <c r="J47" s="122">
        <f>I47/$I$51</f>
        <v>1.0169555063421227E-2</v>
      </c>
      <c r="K47" s="318">
        <f>M.sT*Molweight</f>
        <v>282.21556322569324</v>
      </c>
      <c r="L47" s="123">
        <f>K47/$K$51</f>
        <v>9.5903311457630563E-2</v>
      </c>
      <c r="M47" s="320">
        <f>C.s3R*(Molweight*1000)/(FRACw.s3R*1000+(1-FRACa.s3R-FRACw.s3R)*RHOsolid)</f>
        <v>9.10602234492046E-5</v>
      </c>
      <c r="N47" s="320">
        <f>C.s3C*(Molweight*1000)/(FRACw.s3C*1000+(1-FRACa.s3C-FRACw.s3C)*RHOsolid)</f>
        <v>1.4421124126747207E-6</v>
      </c>
      <c r="O47" s="320">
        <f>C.sM*(Molweight*1000)/(FRACw.sM*1000+(1-FRACa.sM-FRACw.sM)*RHOsolid)</f>
        <v>1.0100838984229801E-8</v>
      </c>
      <c r="P47" s="320">
        <f>C.sA*(Molweight*1000)/(FRACw.sA*1000+(1-FRACa.sA-FRACw.sA)*RHOsolid)</f>
        <v>1.8369973326866085E-9</v>
      </c>
      <c r="Q47" s="320">
        <f>C.sT*(Molweight*1000)/(FRACw.sT*1000+(1-FRACa.sT-FRACw.sT)*RHOsolid)</f>
        <v>8.6802172464649943E-11</v>
      </c>
      <c r="R47" s="120" t="s">
        <v>1495</v>
      </c>
      <c r="S47" s="325">
        <f>F.s3R</f>
        <v>2.5999126665558309E-9</v>
      </c>
      <c r="T47" s="325">
        <f>F.s3C</f>
        <v>4.1174578606232785E-11</v>
      </c>
      <c r="U47" s="325">
        <f>F.sM</f>
        <v>2.8817351277416709E-13</v>
      </c>
      <c r="V47" s="325">
        <f>F.sA</f>
        <v>1.5318824325108456E-15</v>
      </c>
      <c r="W47" s="326">
        <f>F.sT</f>
        <v>1.5628334057652797E-14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1.2056909001556792E-12</v>
      </c>
      <c r="AG47" s="326">
        <f>KDEG.sdT*M.sdT*Molweight</f>
        <v>1.3574092557149426E-8</v>
      </c>
      <c r="AH47" s="325"/>
      <c r="AI47" s="325"/>
      <c r="AJ47" s="325"/>
      <c r="AK47" s="325"/>
      <c r="AL47" s="325"/>
      <c r="AM47" s="325">
        <f>k.w3T.sdT*M.w3T*Molweight</f>
        <v>3.900968148661981E-8</v>
      </c>
      <c r="AN47" s="326">
        <f>k.sdT.w3T*M.sdT*Molweight</f>
        <v>2.5434383238570232E-8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8.6143300199770707E-6</v>
      </c>
      <c r="AW47" s="75"/>
      <c r="AX47" s="290">
        <f>output!AF16</f>
        <v>2.157491667593906E-3</v>
      </c>
      <c r="AY47" s="75"/>
      <c r="AZ47" s="75"/>
      <c r="BA47" s="75"/>
      <c r="BB47" s="75"/>
      <c r="BC47" s="2"/>
      <c r="BD47" s="295">
        <f>output!AF18</f>
        <v>1.4664817287884485E-5</v>
      </c>
      <c r="BE47" s="75"/>
      <c r="BF47" s="295">
        <f>output!AF20</f>
        <v>5.4351997562392424E-6</v>
      </c>
      <c r="BG47" s="75"/>
      <c r="BH47" s="299">
        <f>output!AF19</f>
        <v>1.1293710860474185E-4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1143.9245237832401</v>
      </c>
      <c r="D48" s="122">
        <f>C48/$C$51</f>
        <v>9.7849767082032447E-5</v>
      </c>
      <c r="E48" s="318">
        <f>E47*FRw.s3C</f>
        <v>276.28416521842479</v>
      </c>
      <c r="F48" s="122">
        <f>E48/$E$51</f>
        <v>1.4333606474462672E-4</v>
      </c>
      <c r="G48" s="318">
        <f>G47*FRw.sM</f>
        <v>215.15123592654086</v>
      </c>
      <c r="H48" s="122">
        <f>G48/$G$51</f>
        <v>4.0829017020834444E-4</v>
      </c>
      <c r="I48" s="318">
        <f>I47*FRw.sA</f>
        <v>17.150367952205222</v>
      </c>
      <c r="J48" s="122">
        <f>I48/$I$51</f>
        <v>6.5705091042038893E-5</v>
      </c>
      <c r="K48" s="318">
        <f>K47*FRw.sT</f>
        <v>1.8233835329299015</v>
      </c>
      <c r="L48" s="123">
        <f>K48/$K$51</f>
        <v>6.1962748215074661E-4</v>
      </c>
      <c r="M48" s="320">
        <f>M49/Kp.s3R</f>
        <v>5.004701070933368E-6</v>
      </c>
      <c r="N48" s="320">
        <f>N49/Kp.s3C</f>
        <v>7.9258992156388347E-8</v>
      </c>
      <c r="O48" s="320">
        <f>O49/Kp.sM</f>
        <v>5.5471951290812086E-10</v>
      </c>
      <c r="P48" s="320">
        <f>P49/Kp.sA</f>
        <v>1.0088451736591308E-10</v>
      </c>
      <c r="Q48" s="320">
        <f>Q49/Kp.sT</f>
        <v>4.7670157723657533E-12</v>
      </c>
      <c r="R48" s="120" t="s">
        <v>1489</v>
      </c>
      <c r="S48" s="325">
        <f>S47*FRACw.s3R</f>
        <v>5.1998253331116625E-10</v>
      </c>
      <c r="T48" s="325">
        <f>T47*FRACw.s3C</f>
        <v>8.2349157212465567E-12</v>
      </c>
      <c r="U48" s="325">
        <f>U47*FRACw.sM</f>
        <v>5.7634702554833417E-14</v>
      </c>
      <c r="V48" s="325">
        <f>V47*FRACw.sA</f>
        <v>3.0637648650216915E-16</v>
      </c>
      <c r="W48" s="326">
        <f>W47*FRACw.sT</f>
        <v>3.1256668115305597E-15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1.6089460432001507E-8</v>
      </c>
      <c r="AG48" s="326">
        <f>KDEG.sT*M.sT*Molweight</f>
        <v>3.019706526514918E-5</v>
      </c>
      <c r="AH48" s="325"/>
      <c r="AI48" s="325"/>
      <c r="AJ48" s="325">
        <f>k.aT.sT*M.aT*Molweight</f>
        <v>3.26798253785363E-5</v>
      </c>
      <c r="AK48" s="325">
        <f>k.sT.aT*M.sT*Molweight</f>
        <v>7.1959855258916062E-8</v>
      </c>
      <c r="AL48" s="333">
        <f>k.sT.w2T*M.sT*Molweight</f>
        <v>2.3947107976962084E-6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175771.97524734275</v>
      </c>
      <c r="D49" s="122">
        <f>C49/$C$51</f>
        <v>1.5035298640699753E-2</v>
      </c>
      <c r="E49" s="318">
        <f>E47*FRs.s3C</f>
        <v>42452.987448329091</v>
      </c>
      <c r="F49" s="122">
        <f>E49/$E$51</f>
        <v>2.2024585276850046E-2</v>
      </c>
      <c r="G49" s="318">
        <f>G47*FRs.sM</f>
        <v>33085.043710857324</v>
      </c>
      <c r="H49" s="122">
        <f>G49/$G$51</f>
        <v>6.2785129120376482E-2</v>
      </c>
      <c r="I49" s="318">
        <f>I47*FRs.sA</f>
        <v>2637.3107777532409</v>
      </c>
      <c r="J49" s="122">
        <f>I49/$I$51</f>
        <v>1.0103849972276886E-2</v>
      </c>
      <c r="K49" s="318">
        <f>K47*FRs.sT</f>
        <v>280.39217915178796</v>
      </c>
      <c r="L49" s="123">
        <f>K49/$K$51</f>
        <v>9.5283683791643994E-2</v>
      </c>
      <c r="M49" s="320">
        <f>C.s3R*FRs.s3R*(Molweight*1000)/(FRACs.s3R*RHOsolid)</f>
        <v>1.0253429306694826E-4</v>
      </c>
      <c r="N49" s="320">
        <f>C.s3C*FRs.s3C*(Molweight*1000)/(FRACs.s3C*RHOsolid)</f>
        <v>1.6238262015594169E-6</v>
      </c>
      <c r="O49" s="320">
        <f>C.sM*FRs.sM*(Molweight*1000)/(FRACs.sM*RHOsolid)</f>
        <v>1.1373654910103578E-8</v>
      </c>
      <c r="P49" s="320">
        <f>C.sA*FRs.sA*(Molweight*1000)/(FRACs.sA*RHOsolid)</f>
        <v>2.0684790413750907E-9</v>
      </c>
      <c r="Q49" s="320">
        <f>C.sT*FRs.sT*(Molweight*1000)/(FRACs.sT*RHOsolid)</f>
        <v>9.7740193168379197E-11</v>
      </c>
      <c r="R49" s="120" t="s">
        <v>1494</v>
      </c>
      <c r="S49" s="325">
        <f>S47*(1-FRACw.s3R)</f>
        <v>2.079930133244665E-9</v>
      </c>
      <c r="T49" s="325">
        <f>T47*(1-FRACw.s3C)</f>
        <v>3.2939662884986227E-11</v>
      </c>
      <c r="U49" s="325">
        <f>U47*(1-FRACw.sM)</f>
        <v>2.3053881021933367E-13</v>
      </c>
      <c r="V49" s="325">
        <f>V47*(1-FRACw.sA)</f>
        <v>1.2255059460086766E-15</v>
      </c>
      <c r="W49" s="326">
        <f>W47*(1-FRACw.sT)</f>
        <v>1.2502667246122239E-14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2.3345802731472303E-3</v>
      </c>
      <c r="AG49" s="336">
        <f>SUM(AG11:AG48)</f>
        <v>0.94895917923979045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11690620.814909348</v>
      </c>
      <c r="D51" s="130">
        <f>C51/SUM($C$51,$E$51,$G$51,$I$51,$K$51)</f>
        <v>0.81133776121648493</v>
      </c>
      <c r="E51" s="317">
        <f>SUM(E11,E15,E19,E23,E27,E31,E35,E39,E43,E47)</f>
        <v>1927527.2117360258</v>
      </c>
      <c r="F51" s="130">
        <f>E51/SUM($C$51,$E$51,$G$51,$I$51,$K$51)</f>
        <v>0.13377181908588723</v>
      </c>
      <c r="G51" s="317">
        <f>SUM(G11,G15,G19,G23,G27,G31,G35,G39,G43,G47)</f>
        <v>526956.68822188978</v>
      </c>
      <c r="H51" s="130">
        <f>G51/SUM($C$51,$E$51,$G$51,$I$51,$K$51)</f>
        <v>3.6571185264579684E-2</v>
      </c>
      <c r="I51" s="317">
        <f>SUM(I11,I15,I19,I23,I27,I31,I35,I39,I43,I47)</f>
        <v>261020.38183361184</v>
      </c>
      <c r="J51" s="130">
        <f>I51/SUM($C$51,$E$51,$G$51,$I$51,$K$51)</f>
        <v>1.8115008225967923E-2</v>
      </c>
      <c r="K51" s="317">
        <f>SUM(K11,K15,K19,K23,K27,K31,K35,K39,K43,K47)</f>
        <v>2942.7092655749866</v>
      </c>
      <c r="L51" s="130">
        <f>K51/SUM($C$51,$E$51,$G$51,$I$51,$K$51)</f>
        <v>2.0422620708027213E-4</v>
      </c>
      <c r="M51" s="199"/>
      <c r="N51" s="199"/>
      <c r="O51" s="199"/>
      <c r="P51" s="199"/>
      <c r="Q51" s="199"/>
      <c r="R51" s="199"/>
      <c r="S51" s="328">
        <f>SUM(S11,S15,S19,S23,S27,S35,S39,S43,S47)</f>
        <v>7.3642529589638523E-7</v>
      </c>
      <c r="T51" s="328">
        <f>SUM(T11,T15,T19,T23,T27,T35,T39,T43,T47)</f>
        <v>9.3359344508122134E-9</v>
      </c>
      <c r="U51" s="328">
        <f>SUM(U11,U15,U19,U23,U27,U35,U39,U43,U47)</f>
        <v>6.4511004392938841E-11</v>
      </c>
      <c r="V51" s="328">
        <f>SUM(V11,V15,V19,V23,V27,V35,V39,V43,V47)</f>
        <v>2.4600983378013125E-12</v>
      </c>
      <c r="W51" s="328">
        <f>SUM(W11,W15,W19,W23,W27,W35,W39,W43,W47)</f>
        <v>1.4208585435699435E-12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5.4871813622581611E-8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3.8294814418460772E-7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1.0952166098169318E-4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1.0330039874087867E-5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3.0396864623027219E-3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2.415857920367125E-4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9.1066685412579028E-5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1.7325088638928162E-4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9.10602234492046E-5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1-HYDROXYANTHRAQUINONE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5.6617564722732848E-2</v>
      </c>
      <c r="AY72" s="75"/>
      <c r="AZ72" s="256">
        <f>output!AF22</f>
        <v>2.2928765939611531E-6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0.11872524244787885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1.0528936352176459E-2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3.2472263268906046E-3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4.8770384173062363E-6</v>
      </c>
      <c r="BE84" s="2"/>
      <c r="BF84" s="304">
        <f>IF(output!AK30&lt;0,"",output!AK30)</f>
        <v>1.8001473844693268E-6</v>
      </c>
      <c r="BG84" s="75"/>
      <c r="BH84" s="311">
        <f>IF(output!AK29&lt;0,"",output!AK29)</f>
        <v>5.1886535289156112E-6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1.3476337617360363E-6</v>
      </c>
      <c r="AV85" s="87"/>
      <c r="AW85" s="75"/>
      <c r="AX85" s="304">
        <f>output!AL24</f>
        <v>1.181441377478356E-3</v>
      </c>
      <c r="AY85" s="87"/>
      <c r="AZ85" s="201"/>
      <c r="BA85" s="311">
        <f>IF(output!AI23&lt;0,"",output!AI23)</f>
        <v>3.8109481851036627E-9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5.5506431960220754E-3</v>
      </c>
      <c r="BE86" s="87"/>
      <c r="BF86" s="304">
        <f>IF(output!AJ30&lt;0,"",output!AJ30)</f>
        <v>2.0557937763044714E-3</v>
      </c>
      <c r="BG86" s="75"/>
      <c r="BH86" s="311">
        <f>IF(output!AJ29&lt;0,"",output!AJ29)</f>
        <v>1.2334762657826834E-2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3.0782350367491738E-2</v>
      </c>
      <c r="AV87" s="200"/>
      <c r="AW87" s="84"/>
      <c r="AX87" s="304">
        <f>IF(output!AH24&lt;0,"",output!AH24)</f>
        <v>7.9463742911178089E-4</v>
      </c>
      <c r="AY87" s="291">
        <f>output!AL24</f>
        <v>1.181441377478356E-3</v>
      </c>
      <c r="AZ87" s="75"/>
      <c r="BA87" s="311">
        <f>IF(output!AH23&lt;0,"",output!AH23)</f>
        <v>7.223976628288919E-5</v>
      </c>
      <c r="BB87" s="291">
        <f>output!AL23</f>
        <v>1.0740376158894148E-4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4.8249052375269176E-6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8.7765945519257952E-4</v>
      </c>
      <c r="AT89" s="83"/>
      <c r="AU89" s="302"/>
      <c r="AV89" s="75"/>
      <c r="AW89" s="81"/>
      <c r="AX89" s="265">
        <f>output!AD24</f>
        <v>4.8249052375269176E-6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4.6527162151580231E-2</v>
      </c>
      <c r="AT90" s="81"/>
      <c r="AU90" s="278">
        <f>output!AD25</f>
        <v>0.14321108849455949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1.7481481168611871E-4</v>
      </c>
      <c r="BB91" s="309">
        <f>IF(ISERROR(output!F15),0,output!F15)</f>
        <v>1.0441744967184148E-3</v>
      </c>
      <c r="BC91" s="2"/>
      <c r="BD91" s="295">
        <f>output!AG28</f>
        <v>5.0137718000697537E-3</v>
      </c>
      <c r="BE91" s="2"/>
      <c r="BF91" s="312">
        <f>output!AG30</f>
        <v>1.8568220001405427E-3</v>
      </c>
      <c r="BG91" s="75"/>
      <c r="BH91" s="295">
        <f>output!AG29</f>
        <v>1.1761256500800741E-2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6.2679319009226421E-3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1.0478195814421561E-3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2.6493282204193458E-4</v>
      </c>
      <c r="AZ96" s="75"/>
      <c r="BA96" s="75"/>
      <c r="BB96" s="43"/>
      <c r="BC96" s="2"/>
      <c r="BD96" s="277">
        <f>IF(ISERROR(output!F39),0,output!F39)</f>
        <v>5.9857594812775833E-2</v>
      </c>
      <c r="BE96" s="43"/>
      <c r="BF96" s="277">
        <f>IF(ISERROR(output!F47),0,output!F47)</f>
        <v>2.2167921348617087E-2</v>
      </c>
      <c r="BG96" s="43"/>
      <c r="BH96" s="277">
        <f>IF(ISERROR(output!F43),0,output!F43)</f>
        <v>0.14041335628882473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0.12739413569288285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3.1959608461128012E-4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4.2134211403152274E-5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0.76126859804684643</v>
      </c>
      <c r="AW101" s="56"/>
      <c r="AX101" s="307"/>
      <c r="AY101" s="276">
        <f>IF(ISERROR(output!F23),0,output!F23)</f>
        <v>2.2614989443751217E-3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2.923235959849517E-4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3.6311697981131544E-4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3.4716978340291822E-3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6.4681547091002288E-5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6.1118367353615268E-6</v>
      </c>
      <c r="AW111" s="75"/>
      <c r="AX111" s="290">
        <f>output!AF26</f>
        <v>1.2529051166193244E-5</v>
      </c>
      <c r="AY111" s="75"/>
      <c r="AZ111" s="75"/>
      <c r="BA111" s="75"/>
      <c r="BB111" s="76"/>
      <c r="BC111" s="2"/>
      <c r="BD111" s="295">
        <f>output!AF28</f>
        <v>3.5418893417661096E-6</v>
      </c>
      <c r="BE111" s="76"/>
      <c r="BF111" s="295">
        <f>output!AF30</f>
        <v>1.3127261425269444E-6</v>
      </c>
      <c r="BG111" s="43"/>
      <c r="BH111" s="294">
        <f>output!AF29</f>
        <v>3.7837352600604632E-6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8.6941238431048558E-10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2.309543474428561E-9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4.2011035817762836E-8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1.9757661262497695E-9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1.1659828357051115E-6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4.6206697196462169E-8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1.4422137806088587E-6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3.8060222401438699E-7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1.4421124126747207E-6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1-HYDROXYANTHRAQUINONE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5.4883181033456838E-4</v>
      </c>
      <c r="AT136" s="81">
        <f>output!AD32</f>
        <v>8.6626589654279287E-3</v>
      </c>
      <c r="AU136" s="268">
        <f>output!AF32</f>
        <v>1.7263982416573506E-7</v>
      </c>
      <c r="AV136" s="221"/>
      <c r="AW136" s="221"/>
      <c r="AX136" s="221"/>
      <c r="AY136" s="279">
        <f>output!AE38</f>
        <v>7.4175754009327659E-6</v>
      </c>
      <c r="AZ136" s="266">
        <f>output!AD38</f>
        <v>1.7876500238978135E-4</v>
      </c>
      <c r="BA136" s="268">
        <f>output!AF38</f>
        <v>3.9247227954803783E-9</v>
      </c>
      <c r="BB136" s="75"/>
      <c r="BC136" s="75"/>
      <c r="BD136" s="75"/>
      <c r="BE136" s="279">
        <f>output!AE44</f>
        <v>6.4807574432098572E-6</v>
      </c>
      <c r="BF136" s="266">
        <f>output!AD44</f>
        <v>3.0963006675427298E-4</v>
      </c>
      <c r="BG136" s="268">
        <f>output!AF44</f>
        <v>5.939274704082646E-9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4.2629622737517135E-3</v>
      </c>
      <c r="AV141" s="223" t="s">
        <v>446</v>
      </c>
      <c r="AW141" s="221"/>
      <c r="AX141" s="221"/>
      <c r="AY141" s="2"/>
      <c r="AZ141" s="202"/>
      <c r="BA141" s="269">
        <f>output!AG38</f>
        <v>8.0074353879963045E-5</v>
      </c>
      <c r="BB141" s="47" t="s">
        <v>446</v>
      </c>
      <c r="BC141" s="75"/>
      <c r="BD141" s="75"/>
      <c r="BE141" s="2"/>
      <c r="BF141" s="202"/>
      <c r="BG141" s="269">
        <f>output!AG44</f>
        <v>1.6305315182713368E-4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8.9433136118448504E-4</v>
      </c>
      <c r="AW142" s="221"/>
      <c r="AX142" s="221"/>
      <c r="AY142" s="203"/>
      <c r="AZ142" s="202"/>
      <c r="BA142" s="75"/>
      <c r="BB142" s="277">
        <f>IF(ISERROR(output!J11),0,output!J11)</f>
        <v>4.1045633543027255E-5</v>
      </c>
      <c r="BC142" s="75"/>
      <c r="BD142" s="75"/>
      <c r="BE142" s="203"/>
      <c r="BF142" s="75"/>
      <c r="BG142" s="75"/>
      <c r="BH142" s="277">
        <f>IF(ISERROR(output!L11),0,output!L11)</f>
        <v>5.5095794784166029E-3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1.4076126876286823E-6</v>
      </c>
      <c r="AY144" s="2"/>
      <c r="AZ144" s="75"/>
      <c r="BA144" s="75"/>
      <c r="BB144" s="75"/>
      <c r="BC144" s="75"/>
      <c r="BD144" s="270">
        <f>k.sA.aA*M.sA*Molweight</f>
        <v>3.5552015920584015E-9</v>
      </c>
      <c r="BE144" s="2"/>
      <c r="BF144" s="75"/>
      <c r="BG144" s="75"/>
      <c r="BH144" s="75"/>
      <c r="BI144" s="75"/>
      <c r="BJ144" s="270">
        <f>k.sT.aT*M.sT*Molweight</f>
        <v>7.1959855258916062E-8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2.5029527562370421E-7</v>
      </c>
      <c r="AV145" s="221"/>
      <c r="AW145" s="221"/>
      <c r="AX145" s="221"/>
      <c r="AY145" s="2"/>
      <c r="AZ145" s="75"/>
      <c r="BA145" s="270">
        <f>k.w2A.aA*M.w2A*Molweight</f>
        <v>1.4987940270341593E-9</v>
      </c>
      <c r="BB145" s="75"/>
      <c r="BC145" s="75"/>
      <c r="BD145" s="221"/>
      <c r="BE145" s="2"/>
      <c r="BF145" s="75"/>
      <c r="BG145" s="270">
        <f>k.w2T.aT*M.w2T*Molweight</f>
        <v>3.093751801272364E-9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1.6020287557086703E-3</v>
      </c>
      <c r="AY146" s="2"/>
      <c r="AZ146" s="75"/>
      <c r="BA146" s="221"/>
      <c r="BB146" s="75"/>
      <c r="BC146" s="75"/>
      <c r="BD146" s="270">
        <f>IF(output!AJ42&lt;0,"",output!AJ42)</f>
        <v>2.9520768830675443E-5</v>
      </c>
      <c r="BE146" s="2"/>
      <c r="BF146" s="75"/>
      <c r="BG146" s="221"/>
      <c r="BH146" s="75"/>
      <c r="BI146" s="75"/>
      <c r="BJ146" s="270">
        <f>IF(output!AJ48&lt;0,"",output!AJ48)</f>
        <v>3.26798253785363E-5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4.0042521849568698E-2</v>
      </c>
      <c r="AT147" s="81">
        <f>output!AD33</f>
        <v>4.9470349893457381E-2</v>
      </c>
      <c r="AU147" s="270">
        <f>IF(output!AH33&lt;0,"",output!AH33)</f>
        <v>2.2503213937720623E-3</v>
      </c>
      <c r="AV147" s="272">
        <f>output!AL33</f>
        <v>1.5252215287005422E-4</v>
      </c>
      <c r="AW147" s="221"/>
      <c r="AX147" s="221"/>
      <c r="AY147" s="279">
        <f>output!AE39</f>
        <v>6.9362764195796435E-3</v>
      </c>
      <c r="AZ147" s="266">
        <f>output!AD39</f>
        <v>7.3568816704889404E-3</v>
      </c>
      <c r="BA147" s="270">
        <f>IF(output!AH39&lt;0,"",output!AH39)</f>
        <v>6.1753433551033754E-5</v>
      </c>
      <c r="BB147" s="272">
        <f>output!AL39</f>
        <v>4.3834034123800691E-6</v>
      </c>
      <c r="BC147" s="75"/>
      <c r="BD147" s="75"/>
      <c r="BE147" s="279">
        <f>output!AE45</f>
        <v>6.8120035721658262E-5</v>
      </c>
      <c r="BF147" s="266">
        <f>output!AD45</f>
        <v>1.7911317720867372E-5</v>
      </c>
      <c r="BG147" s="270">
        <f>IF(output!AH45&lt;0,"",output!AH45)</f>
        <v>1.0748544643774936E-4</v>
      </c>
      <c r="BH147" s="272">
        <f>output!AL45</f>
        <v>2.3947107976962084E-6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0.25859152453845041</v>
      </c>
      <c r="AW150" s="221"/>
      <c r="AX150" s="221"/>
      <c r="AY150" s="2"/>
      <c r="AZ150" s="75"/>
      <c r="BA150" s="59"/>
      <c r="BB150" s="273">
        <f>IF(ISERROR(output!J27),0,output!J27)</f>
        <v>9.8691131937276327E-2</v>
      </c>
      <c r="BC150" s="78"/>
      <c r="BD150" s="75"/>
      <c r="BE150" s="2"/>
      <c r="BF150" s="75"/>
      <c r="BG150" s="59"/>
      <c r="BH150" s="273">
        <f>IF(ISERROR(output!L27),0,output!L27)</f>
        <v>9.4852032521744678E-2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1.4470767286986362E-3</v>
      </c>
      <c r="AY151" s="2"/>
      <c r="AZ151" s="75"/>
      <c r="BA151" s="59"/>
      <c r="BB151" s="49"/>
      <c r="BC151" s="75"/>
      <c r="BD151" s="274">
        <f>output!AJ42</f>
        <v>2.9520768830675443E-5</v>
      </c>
      <c r="BE151" s="2"/>
      <c r="BF151" s="75"/>
      <c r="BG151" s="59"/>
      <c r="BH151" s="59"/>
      <c r="BI151" s="75"/>
      <c r="BJ151" s="274">
        <f>output!AG48</f>
        <v>3.019706526514918E-5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1.1830421295255173E-2</v>
      </c>
      <c r="AW152" s="221"/>
      <c r="AX152" s="221"/>
      <c r="AY152" s="2"/>
      <c r="AZ152" s="75"/>
      <c r="BA152" s="59"/>
      <c r="BB152" s="257">
        <f>output!AG39</f>
        <v>4.8674058907868323E-4</v>
      </c>
      <c r="BC152" s="2"/>
      <c r="BD152" s="75"/>
      <c r="BE152" s="2"/>
      <c r="BF152" s="75"/>
      <c r="BG152" s="59"/>
      <c r="BH152" s="257">
        <f>output!AG45</f>
        <v>5.9668345482853438E-5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2.9628552248020714E-3</v>
      </c>
      <c r="AU153" s="224"/>
      <c r="AV153" s="225"/>
      <c r="AW153" s="221"/>
      <c r="AX153" s="221"/>
      <c r="AY153" s="2"/>
      <c r="AZ153" s="275">
        <f>k.w3A.w2A*M.w3A*Molweight</f>
        <v>2.0868883544262716E-3</v>
      </c>
      <c r="BA153" s="59"/>
      <c r="BB153" s="49"/>
      <c r="BC153" s="2"/>
      <c r="BD153" s="75"/>
      <c r="BE153" s="2"/>
      <c r="BF153" s="275">
        <f>k.w3T.w2T*M.w3T*Molweight</f>
        <v>1.7911317720867372E-5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3.3945610608367247E-2</v>
      </c>
      <c r="AU155" s="221"/>
      <c r="AV155" s="223" t="s">
        <v>2166</v>
      </c>
      <c r="AW155" s="221"/>
      <c r="AX155" s="271">
        <f>IF(ISERROR(output!H47),0,output!H47)</f>
        <v>6.3193419310655155E-2</v>
      </c>
      <c r="AY155" s="2"/>
      <c r="AZ155" s="275">
        <f>k.w2A.w3A*M.w2A*Molweight</f>
        <v>6.9362764195796435E-3</v>
      </c>
      <c r="BA155" s="75"/>
      <c r="BB155" s="223" t="s">
        <v>2166</v>
      </c>
      <c r="BC155" s="47"/>
      <c r="BD155" s="271">
        <f>IF(ISERROR(output!J47),0,output!J47)</f>
        <v>1.0169555063421227E-2</v>
      </c>
      <c r="BE155" s="2"/>
      <c r="BF155" s="275">
        <f>k.w2T.w3T*M.w2T*Molweight</f>
        <v>6.3428910428206867E-5</v>
      </c>
      <c r="BG155" s="75"/>
      <c r="BH155" s="223" t="s">
        <v>2166</v>
      </c>
      <c r="BI155" s="47"/>
      <c r="BJ155" s="271">
        <f>IF(ISERROR(output!L47),0,output!L47)</f>
        <v>9.5903311457630563E-2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0.67711486330968629</v>
      </c>
      <c r="AW156" s="221"/>
      <c r="AX156" s="221"/>
      <c r="AY156" s="203"/>
      <c r="AZ156" s="2"/>
      <c r="BA156" s="75"/>
      <c r="BB156" s="273">
        <f>IF(ISERROR(output!J31),0,output!J31)</f>
        <v>0.89078359107924709</v>
      </c>
      <c r="BC156" s="75"/>
      <c r="BD156" s="75"/>
      <c r="BE156" s="203"/>
      <c r="BF156" s="2"/>
      <c r="BG156" s="75"/>
      <c r="BH156" s="273">
        <f>IF(ISERROR(output!L31),0,output!L31)</f>
        <v>0.80354126194078568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3.4228330231486867E-3</v>
      </c>
      <c r="AT157" s="266">
        <f>output!AD34</f>
        <v>3.4401517810474347E-2</v>
      </c>
      <c r="AU157" s="221"/>
      <c r="AV157" s="225"/>
      <c r="AW157" s="226"/>
      <c r="AX157" s="221"/>
      <c r="AY157" s="279">
        <f>output!AE40</f>
        <v>2.5427955565333711E-3</v>
      </c>
      <c r="AZ157" s="266">
        <f>output!AD40</f>
        <v>6.9362764195796435E-3</v>
      </c>
      <c r="BA157" s="75"/>
      <c r="BB157" s="2"/>
      <c r="BC157" s="76"/>
      <c r="BD157" s="75"/>
      <c r="BE157" s="279">
        <f>output!AE46</f>
        <v>1.7911317720867372E-5</v>
      </c>
      <c r="BF157" s="266">
        <f>output!AD46</f>
        <v>5.2340670877482206E-4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3.0977635916453274E-2</v>
      </c>
      <c r="AW158" s="226"/>
      <c r="AX158" s="221"/>
      <c r="AY158" s="2"/>
      <c r="AZ158" s="75"/>
      <c r="BA158" s="75"/>
      <c r="BB158" s="274">
        <f>output!AG40</f>
        <v>4.3933079026705459E-3</v>
      </c>
      <c r="BC158" s="2"/>
      <c r="BD158" s="75"/>
      <c r="BE158" s="2"/>
      <c r="BF158" s="75"/>
      <c r="BG158" s="75"/>
      <c r="BH158" s="274">
        <f>output!AG46</f>
        <v>5.0548181575570659E-4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4.8375882567166278E-6</v>
      </c>
      <c r="AU159" s="221"/>
      <c r="AV159" s="221"/>
      <c r="AW159" s="226"/>
      <c r="AX159" s="221"/>
      <c r="AY159" s="2"/>
      <c r="AZ159" s="272">
        <f>k.sdA.w3A*M.sdA*Molweight</f>
        <v>3.6629062120683418E-6</v>
      </c>
      <c r="BA159" s="2"/>
      <c r="BB159" s="75"/>
      <c r="BC159" s="2"/>
      <c r="BD159" s="75"/>
      <c r="BE159" s="2"/>
      <c r="BF159" s="275">
        <f>k.sdT.w3T*M.sdT*Molweight</f>
        <v>2.5434383238570232E-8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5.8864591291153995E-6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3.835866587794007E-6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3.900968148661981E-8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2.0586148002359829E-4</v>
      </c>
      <c r="AW162" s="221"/>
      <c r="AX162" s="221"/>
      <c r="AY162" s="2"/>
      <c r="AZ162" s="75"/>
      <c r="BA162" s="47"/>
      <c r="BB162" s="276">
        <f>IF(ISERROR(output!J35),0,output!J35)</f>
        <v>3.1467628651228499E-4</v>
      </c>
      <c r="BC162" s="75"/>
      <c r="BD162" s="75"/>
      <c r="BE162" s="2"/>
      <c r="BF162" s="75"/>
      <c r="BG162" s="47"/>
      <c r="BH162" s="276">
        <f>IF(ISERROR(output!L35),0,output!L35)</f>
        <v>1.9381460142247486E-4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1.0485471749544255E-6</v>
      </c>
      <c r="AV164" s="269">
        <f>output!AF35</f>
        <v>3.2369744434554429E-10</v>
      </c>
      <c r="AW164" s="221"/>
      <c r="AX164" s="274">
        <f>output!AF36</f>
        <v>1.0222614523509349E-6</v>
      </c>
      <c r="AY164" s="2"/>
      <c r="AZ164" s="2"/>
      <c r="BA164" s="269">
        <f>output!AG41</f>
        <v>1.72786739406412E-7</v>
      </c>
      <c r="BB164" s="269">
        <f>output!AF41</f>
        <v>1.7363631925295704E-10</v>
      </c>
      <c r="BC164" s="75"/>
      <c r="BD164" s="274">
        <f>output!AF42</f>
        <v>2.910271793511839E-8</v>
      </c>
      <c r="BE164" s="2"/>
      <c r="BF164" s="2"/>
      <c r="BG164" s="269">
        <f>output!AG47</f>
        <v>1.3574092557149426E-8</v>
      </c>
      <c r="BH164" s="269">
        <f>output!AF47</f>
        <v>1.2056909001556792E-12</v>
      </c>
      <c r="BI164" s="75"/>
      <c r="BJ164" s="274">
        <f>output!AF48</f>
        <v>1.6089460432001507E-8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471.27389226275096</v>
      </c>
      <c r="BA172" s="128">
        <f>output!I11</f>
        <v>10.71374694000348</v>
      </c>
      <c r="BB172" s="128">
        <f>output!K11</f>
        <v>16.21309058055834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136266.53337303139</v>
      </c>
      <c r="BA173" s="128">
        <f>output!I27</f>
        <v>25760.396941859231</v>
      </c>
      <c r="BB173" s="128">
        <f>output!K27</f>
        <v>279.12195496035804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356810.20591548987</v>
      </c>
      <c r="BA174" s="128">
        <f>output!I31</f>
        <v>232512.67307462104</v>
      </c>
      <c r="BB174" s="128">
        <f>output!K31</f>
        <v>2364.5883167849674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108.48008374569207</v>
      </c>
      <c r="BA175" s="128">
        <f>output!I35</f>
        <v>82.136924459419674</v>
      </c>
      <c r="BB175" s="128">
        <f>output!K35</f>
        <v>0.57034002340963974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33300.194957360058</v>
      </c>
      <c r="BA176" s="128">
        <f>output!I47</f>
        <v>2654.4611457321494</v>
      </c>
      <c r="BB176" s="128">
        <f>output!K47</f>
        <v>282.21556322569324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1-HYDROXYANTHRAQUINONE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0.48030226019888184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1.4409067805966456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1.4409067805966456</v>
      </c>
      <c r="G11" s="508">
        <f>2*Scale*(M.tot/Emis.tot)/(3600*24*365)</f>
        <v>2.8818135611932911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1.4142267408689941</v>
      </c>
      <c r="H15" s="482">
        <v>0</v>
      </c>
      <c r="I15" s="482">
        <v>1.4142267408689941</v>
      </c>
      <c r="J15" s="482">
        <v>0</v>
      </c>
      <c r="K15" s="482">
        <v>0</v>
      </c>
      <c r="L15" s="482">
        <v>0</v>
      </c>
      <c r="M15" s="482">
        <v>0</v>
      </c>
      <c r="N15" s="482">
        <v>1.4142267408689941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699" activePane="bottomLeft" state="frozen"/>
      <selection pane="bottomLeft" activeCell="B715" sqref="B71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708</v>
      </c>
      <c r="B6" s="439" t="str">
        <f t="shared" ref="B6:Z6" si="0">IF(ISBLANK(VLOOKUP($A6,$A$8:$Z$1041,COLUMN(),0)),"",VLOOKUP($A6,$A$8:$Z$1041,COLUMN(),0))</f>
        <v>1-HYDROXYANTHRAQUINONE</v>
      </c>
      <c r="C6" s="439" t="str">
        <f t="shared" si="0"/>
        <v>129-43-1</v>
      </c>
      <c r="D6" s="439" t="str">
        <f t="shared" si="0"/>
        <v>Acid</v>
      </c>
      <c r="E6" s="544">
        <f t="shared" si="0"/>
        <v>9.4700000000000006</v>
      </c>
      <c r="F6" s="544">
        <f t="shared" si="0"/>
        <v>224.22</v>
      </c>
      <c r="G6" s="544" t="str">
        <f t="shared" si="0"/>
        <v/>
      </c>
      <c r="H6" s="545">
        <f t="shared" si="0"/>
        <v>2.7866666659699999E-5</v>
      </c>
      <c r="I6" s="545">
        <f t="shared" si="0"/>
        <v>8.5</v>
      </c>
      <c r="J6" s="545" t="str">
        <f t="shared" si="0"/>
        <v/>
      </c>
      <c r="K6" s="545">
        <f t="shared" si="0"/>
        <v>3311.3112148259115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1.0271107499999999E-5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1.0300000000000001E-5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2.3799999999999998E-8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1.0700000000000001E-7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0.12462796418239608</v>
      </c>
      <c r="M220" s="452">
        <f t="shared" si="0"/>
        <v>0.12462796418239608</v>
      </c>
      <c r="N220" s="452">
        <f t="shared" si="0"/>
        <v>0.12462796418239608</v>
      </c>
      <c r="O220" s="452">
        <f t="shared" si="0"/>
        <v>0.12462796418239608</v>
      </c>
      <c r="P220" s="452">
        <f t="shared" si="0"/>
        <v>0.12462796418239608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0.87537203581760392</v>
      </c>
      <c r="M222" s="452">
        <f>(0.00015*0.172)/((IF(Tm&gt;298,EXP(-6.79*(1-Tm/298))*Pvap25*EXP((H0vap/8.314)*(1/298-1/TEMP.R)),Pvap25*EXP((H0vap/8.314)*(1/298-1/TEMP.R))))+(0.00015*0.172))</f>
        <v>0.87537203581760392</v>
      </c>
      <c r="N222" s="452">
        <f>(0.00015*0.172)/((IF(Tm&gt;298,EXP(-6.79*(1-Tm/298))*Pvap25*EXP((H0vap/8.314)*(1/298-1/TEMP.R)),Pvap25*EXP((H0vap/8.314)*(1/298-1/TEMP.R))))+(0.00015*0.172))</f>
        <v>0.87537203581760392</v>
      </c>
      <c r="O222" s="452">
        <f>(0.00015*0.172)/((IF(Tm&gt;298,EXP(-6.79*(1-Tm/298))*Pvap25*EXP((H0vap/8.314)*(1/298-1/TEMP.R)),Pvap25*EXP((H0vap/8.314)*(1/298-1/TEMP.R))))+(0.00015*0.172))</f>
        <v>0.87537203581760392</v>
      </c>
      <c r="P222" s="452">
        <f>(0.00015*0.172)/((IF(Tm&gt;298,EXP(-6.79*(1-Tm/298))*Pvap25*EXP((H0vap/8.314)*(1/298-1/TEMP.R)),Pvap25*EXP((H0vap/8.314)*(1/298-1/TEMP.R))))+(0.00015*0.172))</f>
        <v>0.87537203581760392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0.99978338121031318</v>
      </c>
      <c r="M226" s="452">
        <f t="shared" si="1"/>
        <v>0.99978338121031318</v>
      </c>
      <c r="N226" s="452">
        <f t="shared" si="1"/>
        <v>0.99978338121031318</v>
      </c>
      <c r="O226" s="452">
        <f t="shared" si="1"/>
        <v>0.99978338121031318</v>
      </c>
      <c r="P226" s="452">
        <f t="shared" si="1"/>
        <v>0.99978338121031318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0.99830430980414364</v>
      </c>
      <c r="M232" s="452">
        <f t="shared" si="2"/>
        <v>0.99830430980414364</v>
      </c>
      <c r="N232" s="452">
        <f t="shared" si="2"/>
        <v>0.99830430980414364</v>
      </c>
      <c r="O232" s="452">
        <f t="shared" si="2"/>
        <v>0.99830430980414364</v>
      </c>
      <c r="P232" s="452">
        <f t="shared" si="2"/>
        <v>0.99830430980414364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0.99933769729472144</v>
      </c>
      <c r="M238" s="452">
        <f t="shared" si="3"/>
        <v>0.99933769729472144</v>
      </c>
      <c r="N238" s="452">
        <f t="shared" si="3"/>
        <v>0.99933769729472144</v>
      </c>
      <c r="O238" s="452">
        <f t="shared" si="3"/>
        <v>0.99933769729472144</v>
      </c>
      <c r="P238" s="452">
        <f t="shared" si="3"/>
        <v>0.99933769729472144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1.8297591523602687E-5</v>
      </c>
      <c r="M268" s="451">
        <f>((DRYDEPaerosol.R+AerosolWashout.R+GasWashout.R+GASABS.aR.wR)/HEIGHT.aR)*AREAFRAC.w0R</f>
        <v>1.8297591523602687E-5</v>
      </c>
      <c r="N268" s="451">
        <f>((DRYDEPaerosol.R+AerosolWashout.R+GasWashout.R+GASABS.aR.wR)/HEIGHT.aR)*AREAFRAC.w0R</f>
        <v>1.8297591523602687E-5</v>
      </c>
      <c r="O268" s="451">
        <f>((DRYDEPaerosol.R+AerosolWashout.R+GasWashout.R+GASABS.aR.wR)/HEIGHT.aR)*AREAFRAC.w0R</f>
        <v>1.8297591523602687E-5</v>
      </c>
      <c r="P268" s="451">
        <f>((DRYDEPaerosol.R+AerosolWashout.R+GasWashout.R+GASABS.aR.wR)/HEIGHT.aR)*AREAFRAC.w0R</f>
        <v>1.8297591523602687E-5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2.0127350675962956E-4</v>
      </c>
      <c r="M269" s="451">
        <f>((DRYDEPaerosol.R+AerosolWashout.R+GasWashout.R+GASABS.aR.wR)/HEIGHT.aR)*AREAFRAC.w1R</f>
        <v>2.0127350675962956E-4</v>
      </c>
      <c r="N269" s="451">
        <f>((DRYDEPaerosol.R+AerosolWashout.R+GasWashout.R+GASABS.aR.wR)/HEIGHT.aR)*AREAFRAC.w1R</f>
        <v>2.0127350675962956E-4</v>
      </c>
      <c r="O269" s="451">
        <f>((DRYDEPaerosol.R+AerosolWashout.R+GasWashout.R+GASABS.aR.wR)/HEIGHT.aR)*AREAFRAC.w1R</f>
        <v>2.0127350675962956E-4</v>
      </c>
      <c r="P269" s="451">
        <f>((DRYDEPaerosol.R+AerosolWashout.R+GasWashout.R+GASABS.aR.wR)/HEIGHT.aR)*AREAFRAC.w1R</f>
        <v>2.0127350675962956E-4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3.2020985297462849E-5</v>
      </c>
      <c r="M270" s="451">
        <f>((DRYDEPaerosol.R+AerosolWashout.R+GasWashout.R+GASABS.aR.wR)/HEIGHT.aR)*AREAFRAC.w2R</f>
        <v>3.2020985297462849E-5</v>
      </c>
      <c r="N270" s="451">
        <f>((DRYDEPaerosol.R+AerosolWashout.R+GasWashout.R+GASABS.aR.wR)/HEIGHT.aR)*AREAFRAC.w2R</f>
        <v>3.2020985297462849E-5</v>
      </c>
      <c r="O270" s="451">
        <f>((DRYDEPaerosol.R+AerosolWashout.R+GasWashout.R+GASABS.aR.wR)/HEIGHT.aR)*AREAFRAC.w2R</f>
        <v>3.2020985297462849E-5</v>
      </c>
      <c r="P270" s="451">
        <f>((DRYDEPaerosol.R+AerosolWashout.R+GasWashout.R+GASABS.aR.wR)/HEIGHT.aR)*AREAFRAC.w2R</f>
        <v>3.2020985297462849E-5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1.9754002880444225E-3</v>
      </c>
      <c r="M271" s="451">
        <f>((DRYDEPaerosol.R+AerosolWashout.R+GasWashout.R+GASABS.aR.sR)/HEIGHT.aR)*AREAFRAC.s1R</f>
        <v>1.9754002880444225E-3</v>
      </c>
      <c r="N271" s="451">
        <f>((DRYDEPaerosol.R+AerosolWashout.R+GasWashout.R+GASABS.aR.sR)/HEIGHT.aR)*AREAFRAC.s1R</f>
        <v>1.9754002880444225E-3</v>
      </c>
      <c r="O271" s="451">
        <f>((DRYDEPaerosol.R+AerosolWashout.R+GasWashout.R+GASABS.aR.sR)/HEIGHT.aR)*AREAFRAC.s1R</f>
        <v>1.9754002880444225E-3</v>
      </c>
      <c r="P271" s="451">
        <f>((DRYDEPaerosol.R+AerosolWashout.R+GasWashout.R+GASABS.aR.sR)/HEIGHT.aR)*AREAFRAC.s1R</f>
        <v>1.9754002880444225E-3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4.3897784178764934E-3</v>
      </c>
      <c r="M272" s="451">
        <f>((DRYDEPaerosol.R+AerosolWashout.R+GasWashout.R+GASABS.aR.sR)/HEIGHT.aR)*AREAFRAC.s2R</f>
        <v>4.3897784178764934E-3</v>
      </c>
      <c r="N272" s="451">
        <f>((DRYDEPaerosol.R+AerosolWashout.R+GasWashout.R+GASABS.aR.sR)/HEIGHT.aR)*AREAFRAC.s2R</f>
        <v>4.3897784178764934E-3</v>
      </c>
      <c r="O272" s="451">
        <f>((DRYDEPaerosol.R+AerosolWashout.R+GasWashout.R+GASABS.aR.sR)/HEIGHT.aR)*AREAFRAC.s2R</f>
        <v>4.3897784178764934E-3</v>
      </c>
      <c r="P272" s="451">
        <f>((DRYDEPaerosol.R+AerosolWashout.R+GasWashout.R+GASABS.aR.sR)/HEIGHT.aR)*AREAFRAC.s2R</f>
        <v>4.3897784178764934E-3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7.3162973631274897E-4</v>
      </c>
      <c r="M273" s="451">
        <f>((DRYDEPaerosol.R+AerosolWashout.R+GasWashout.R+GASABS.aR.sR)/HEIGHT.aR)*AREAFRAC.s3R</f>
        <v>7.3162973631274897E-4</v>
      </c>
      <c r="N273" s="451">
        <f>((DRYDEPaerosol.R+AerosolWashout.R+GasWashout.R+GASABS.aR.sR)/HEIGHT.aR)*AREAFRAC.s3R</f>
        <v>7.3162973631274897E-4</v>
      </c>
      <c r="O273" s="451">
        <f>((DRYDEPaerosol.R+AerosolWashout.R+GasWashout.R+GASABS.aR.sR)/HEIGHT.aR)*AREAFRAC.s3R</f>
        <v>7.3162973631274897E-4</v>
      </c>
      <c r="P273" s="451">
        <f>((DRYDEPaerosol.R+AerosolWashout.R+GasWashout.R+GASABS.aR.sR)/HEIGHT.aR)*AREAFRAC.s3R</f>
        <v>7.3162973631274897E-4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2.352999540191509E-5</v>
      </c>
      <c r="M286" s="451">
        <f>AEROSOLdeprate.R*FRaers.aR</f>
        <v>2.352999540191509E-5</v>
      </c>
      <c r="N286" s="451">
        <f>AEROSOLdeprate.R*FRaers.aR</f>
        <v>2.352999540191509E-5</v>
      </c>
      <c r="O286" s="451">
        <f>AEROSOLdeprate.R*FRaers.aR</f>
        <v>2.352999540191509E-5</v>
      </c>
      <c r="P286" s="451">
        <f>AEROSOLdeprate.R*FRaers.aR</f>
        <v>2.352999540191509E-5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1.0622130094040873E-4</v>
      </c>
      <c r="M287" s="452">
        <f t="shared" si="4"/>
        <v>1.0622130094040873E-4</v>
      </c>
      <c r="N287" s="452">
        <f t="shared" si="4"/>
        <v>1.0622130094040873E-4</v>
      </c>
      <c r="O287" s="452">
        <f t="shared" si="4"/>
        <v>1.0622130094040873E-4</v>
      </c>
      <c r="P287" s="452">
        <f t="shared" si="4"/>
        <v>1.0622130094040873E-4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0.44073100068471405</v>
      </c>
      <c r="M288" s="452">
        <f t="shared" si="5"/>
        <v>0.44073100068471405</v>
      </c>
      <c r="N288" s="452">
        <f t="shared" si="5"/>
        <v>0.44073100068471405</v>
      </c>
      <c r="O288" s="452">
        <f t="shared" si="5"/>
        <v>0.44073100068471405</v>
      </c>
      <c r="P288" s="452">
        <f t="shared" si="5"/>
        <v>0.44073100068471405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0.12462796418239608</v>
      </c>
      <c r="M445" s="452">
        <f t="shared" si="6"/>
        <v>0.12462796418239608</v>
      </c>
      <c r="N445" s="452">
        <f t="shared" si="6"/>
        <v>0.12462796418239608</v>
      </c>
      <c r="O445" s="452">
        <f t="shared" si="6"/>
        <v>0.12462796418239608</v>
      </c>
      <c r="P445" s="452">
        <f t="shared" si="6"/>
        <v>0.12462796418239608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0.87537203581760392</v>
      </c>
      <c r="M447" s="452">
        <f t="shared" si="7"/>
        <v>0.87537203581760392</v>
      </c>
      <c r="N447" s="452">
        <f t="shared" si="7"/>
        <v>0.87537203581760392</v>
      </c>
      <c r="O447" s="452">
        <f t="shared" si="7"/>
        <v>0.87537203581760392</v>
      </c>
      <c r="P447" s="452">
        <f t="shared" si="7"/>
        <v>0.87537203581760392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0.99978338121031318</v>
      </c>
      <c r="M451" s="452">
        <f t="shared" si="8"/>
        <v>0.99978338121031318</v>
      </c>
      <c r="N451" s="452">
        <f t="shared" si="8"/>
        <v>0.99978338121031318</v>
      </c>
      <c r="O451" s="452">
        <f t="shared" si="8"/>
        <v>0.99978338121031318</v>
      </c>
      <c r="P451" s="452">
        <f t="shared" si="8"/>
        <v>0.99978338121031318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0.99830430980414364</v>
      </c>
      <c r="M457" s="452">
        <f t="shared" si="9"/>
        <v>0.99830430980414364</v>
      </c>
      <c r="N457" s="452">
        <f t="shared" si="9"/>
        <v>0.99830430980414364</v>
      </c>
      <c r="O457" s="452">
        <f t="shared" si="9"/>
        <v>0.99830430980414364</v>
      </c>
      <c r="P457" s="452">
        <f t="shared" si="9"/>
        <v>0.99830430980414364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0.99933769729472144</v>
      </c>
      <c r="M463" s="452">
        <f t="shared" si="10"/>
        <v>0.99933769729472144</v>
      </c>
      <c r="N463" s="452">
        <f t="shared" si="10"/>
        <v>0.99933769729472144</v>
      </c>
      <c r="O463" s="452">
        <f t="shared" si="10"/>
        <v>0.99933769729472144</v>
      </c>
      <c r="P463" s="452">
        <f t="shared" si="10"/>
        <v>0.99933769729472144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8.8983611508293877E-6</v>
      </c>
      <c r="M493" s="451">
        <f>((DRYDEPaerosol.C+AerosolWashout.C+GasWashout.C+GASABS.aC.wC)/HEIGHT.aC)*AREAFRAC.w0C</f>
        <v>8.8983611508293877E-6</v>
      </c>
      <c r="N493" s="451">
        <f>((DRYDEPaerosol.C+AerosolWashout.C+GasWashout.C+GASABS.aC.wC)/HEIGHT.aC)*AREAFRAC.w0C</f>
        <v>8.8983611508293877E-6</v>
      </c>
      <c r="O493" s="451">
        <f>((DRYDEPaerosol.C+AerosolWashout.C+GasWashout.C+GASABS.aC.wC)/HEIGHT.aC)*AREAFRAC.w0C</f>
        <v>8.8983611508293877E-6</v>
      </c>
      <c r="P493" s="451">
        <f>((DRYDEPaerosol.C+AerosolWashout.C+GasWashout.C+GASABS.aC.wC)/HEIGHT.aC)*AREAFRAC.w0C</f>
        <v>8.8983611508293877E-6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9.7881972659123254E-5</v>
      </c>
      <c r="M494" s="451">
        <f>((DRYDEPaerosol.C+AerosolWashout.C+GasWashout.C+GASABS.aC.wC)/HEIGHT.aC)*AREAFRAC.w1C</f>
        <v>9.7881972659123254E-5</v>
      </c>
      <c r="N494" s="451">
        <f>((DRYDEPaerosol.C+AerosolWashout.C+GasWashout.C+GASABS.aC.wC)/HEIGHT.aC)*AREAFRAC.w1C</f>
        <v>9.7881972659123254E-5</v>
      </c>
      <c r="O494" s="451">
        <f>((DRYDEPaerosol.C+AerosolWashout.C+GasWashout.C+GASABS.aC.wC)/HEIGHT.aC)*AREAFRAC.w1C</f>
        <v>9.7881972659123254E-5</v>
      </c>
      <c r="P494" s="451">
        <f>((DRYDEPaerosol.C+AerosolWashout.C+GasWashout.C+GASABS.aC.wC)/HEIGHT.aC)*AREAFRAC.w1C</f>
        <v>9.7881972659123254E-5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3.7917131344067834E-3</v>
      </c>
      <c r="M495" s="451">
        <f>((DRYDEPaerosol.C+AerosolWashout.C+GasWashout.C+GASABS.aC.wC)/HEIGHT.aC)*AREAFRAC.w2C</f>
        <v>3.7917131344067834E-3</v>
      </c>
      <c r="N495" s="451">
        <f>((DRYDEPaerosol.C+AerosolWashout.C+GasWashout.C+GASABS.aC.wC)/HEIGHT.aC)*AREAFRAC.w2C</f>
        <v>3.7917131344067834E-3</v>
      </c>
      <c r="O495" s="451">
        <f>((DRYDEPaerosol.C+AerosolWashout.C+GasWashout.C+GASABS.aC.wC)/HEIGHT.aC)*AREAFRAC.w2C</f>
        <v>3.7917131344067834E-3</v>
      </c>
      <c r="P495" s="451">
        <f>((DRYDEPaerosol.C+AerosolWashout.C+GasWashout.C+GASABS.aC.wC)/HEIGHT.aC)*AREAFRAC.w2C</f>
        <v>3.7917131344067834E-3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9.6066332871172879E-4</v>
      </c>
      <c r="M496" s="451">
        <f>((DRYDEPaerosol.C+AerosolWashout.C+GasWashout.C+GASABS.aC.sC)/HEIGHT.aC)*AREAFRAC.s1C</f>
        <v>9.6066332871172879E-4</v>
      </c>
      <c r="N496" s="451">
        <f>((DRYDEPaerosol.C+AerosolWashout.C+GasWashout.C+GASABS.aC.sC)/HEIGHT.aC)*AREAFRAC.s1C</f>
        <v>9.6066332871172879E-4</v>
      </c>
      <c r="O496" s="451">
        <f>((DRYDEPaerosol.C+AerosolWashout.C+GasWashout.C+GASABS.aC.sC)/HEIGHT.aC)*AREAFRAC.s1C</f>
        <v>9.6066332871172879E-4</v>
      </c>
      <c r="P496" s="451">
        <f>((DRYDEPaerosol.C+AerosolWashout.C+GasWashout.C+GASABS.aC.sC)/HEIGHT.aC)*AREAFRAC.s1C</f>
        <v>9.6066332871172879E-4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2.134807397137175E-3</v>
      </c>
      <c r="M497" s="451">
        <f>((DRYDEPaerosol.C+AerosolWashout.C+GasWashout.C+GASABS.aC.sC)/HEIGHT.aC)*AREAFRAC.s2C</f>
        <v>2.134807397137175E-3</v>
      </c>
      <c r="N497" s="451">
        <f>((DRYDEPaerosol.C+AerosolWashout.C+GasWashout.C+GASABS.aC.sC)/HEIGHT.aC)*AREAFRAC.s2C</f>
        <v>2.134807397137175E-3</v>
      </c>
      <c r="O497" s="451">
        <f>((DRYDEPaerosol.C+AerosolWashout.C+GasWashout.C+GASABS.aC.sC)/HEIGHT.aC)*AREAFRAC.s2C</f>
        <v>2.134807397137175E-3</v>
      </c>
      <c r="P497" s="451">
        <f>((DRYDEPaerosol.C+AerosolWashout.C+GasWashout.C+GASABS.aC.sC)/HEIGHT.aC)*AREAFRAC.s2C</f>
        <v>2.134807397137175E-3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3.5580123285619574E-4</v>
      </c>
      <c r="M498" s="451">
        <f>((DRYDEPaerosol.C+AerosolWashout.C+GasWashout.C+GASABS.aC.sC)/HEIGHT.aC)*AREAFRAC.s3C</f>
        <v>3.5580123285619574E-4</v>
      </c>
      <c r="N498" s="451">
        <f>((DRYDEPaerosol.C+AerosolWashout.C+GasWashout.C+GASABS.aC.sC)/HEIGHT.aC)*AREAFRAC.s3C</f>
        <v>3.5580123285619574E-4</v>
      </c>
      <c r="O498" s="451">
        <f>((DRYDEPaerosol.C+AerosolWashout.C+GasWashout.C+GASABS.aC.sC)/HEIGHT.aC)*AREAFRAC.s3C</f>
        <v>3.5580123285619574E-4</v>
      </c>
      <c r="P498" s="451">
        <f>((DRYDEPaerosol.C+AerosolWashout.C+GasWashout.C+GASABS.aC.sC)/HEIGHT.aC)*AREAFRAC.s3C</f>
        <v>3.5580123285619574E-4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2.352999540191509E-5</v>
      </c>
      <c r="M511" s="452">
        <f>AEROSOLdeprate.C*FRaers.aC</f>
        <v>2.352999540191509E-5</v>
      </c>
      <c r="N511" s="452">
        <f>AEROSOLdeprate.C*FRaers.aC</f>
        <v>2.352999540191509E-5</v>
      </c>
      <c r="O511" s="452">
        <f>AEROSOLdeprate.C*FRaers.aC</f>
        <v>2.352999540191509E-5</v>
      </c>
      <c r="P511" s="452">
        <f>AEROSOLdeprate.C*FRaers.aC</f>
        <v>2.352999540191509E-5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1.0622130094040873E-4</v>
      </c>
      <c r="M512" s="452">
        <f t="shared" si="11"/>
        <v>1.0622130094040873E-4</v>
      </c>
      <c r="N512" s="452">
        <f t="shared" si="11"/>
        <v>1.0622130094040873E-4</v>
      </c>
      <c r="O512" s="452">
        <f t="shared" si="11"/>
        <v>1.0622130094040873E-4</v>
      </c>
      <c r="P512" s="452">
        <f t="shared" si="11"/>
        <v>1.0622130094040873E-4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0.44073100068471405</v>
      </c>
      <c r="M513" s="452">
        <f t="shared" si="12"/>
        <v>0.44073100068471405</v>
      </c>
      <c r="N513" s="452">
        <f t="shared" si="12"/>
        <v>0.44073100068471405</v>
      </c>
      <c r="O513" s="452">
        <f t="shared" si="12"/>
        <v>0.44073100068471405</v>
      </c>
      <c r="P513" s="452">
        <f t="shared" si="12"/>
        <v>0.44073100068471405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0.12462796418239608</v>
      </c>
      <c r="M650" s="452">
        <f t="shared" si="13"/>
        <v>0.12462796418239608</v>
      </c>
      <c r="N650" s="452">
        <f t="shared" si="13"/>
        <v>0.12462796418239608</v>
      </c>
      <c r="O650" s="452">
        <f t="shared" si="13"/>
        <v>0.12462796418239608</v>
      </c>
      <c r="P650" s="452">
        <f t="shared" si="13"/>
        <v>0.12462796418239608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0.87537203581760392</v>
      </c>
      <c r="M652" s="452">
        <f t="shared" si="14"/>
        <v>0.87537203581760392</v>
      </c>
      <c r="N652" s="452">
        <f t="shared" si="14"/>
        <v>0.87537203581760392</v>
      </c>
      <c r="O652" s="452">
        <f t="shared" si="14"/>
        <v>0.87537203581760392</v>
      </c>
      <c r="P652" s="452">
        <f t="shared" si="14"/>
        <v>0.87537203581760392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0.99933769729472144</v>
      </c>
      <c r="M657" s="452">
        <f t="shared" si="15"/>
        <v>0.99933769729472144</v>
      </c>
      <c r="N657" s="452">
        <f t="shared" si="15"/>
        <v>0.99933769729472144</v>
      </c>
      <c r="O657" s="452">
        <f t="shared" si="15"/>
        <v>0.99933769729472144</v>
      </c>
      <c r="P657" s="452">
        <f t="shared" si="15"/>
        <v>0.99933769729472144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0.99933769729472144</v>
      </c>
      <c r="M658" s="452">
        <f t="shared" si="16"/>
        <v>0.99933769729472144</v>
      </c>
      <c r="N658" s="452">
        <f t="shared" si="16"/>
        <v>0.99933769729472144</v>
      </c>
      <c r="O658" s="452">
        <f t="shared" si="16"/>
        <v>0.99933769729472144</v>
      </c>
      <c r="P658" s="452">
        <f t="shared" si="16"/>
        <v>0.99933769729472144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3.6755287996258572E-3</v>
      </c>
      <c r="M680" s="451">
        <f>((DRYDEPaerosol.M+AerosolWashout.M+GasWashout.M+GASABS.aM.wM)/HEIGHT.aC)*AREAFRAC.wM</f>
        <v>3.6755287996258572E-3</v>
      </c>
      <c r="N680" s="451">
        <f>((DRYDEPaerosol.M+AerosolWashout.M+GasWashout.M+GASABS.aM.wM)/HEIGHT.aC)*AREAFRAC.wM</f>
        <v>3.6755287996258572E-3</v>
      </c>
      <c r="O680" s="451">
        <f>((DRYDEPaerosol.M+AerosolWashout.M+GasWashout.M+GASABS.aM.wM)/HEIGHT.aC)*AREAFRAC.wM</f>
        <v>3.6755287996258572E-3</v>
      </c>
      <c r="P680" s="451">
        <f>((DRYDEPaerosol.M+AerosolWashout.M+GasWashout.M+GASABS.aM.wM)/HEIGHT.aC)*AREAFRAC.wM</f>
        <v>3.6755287996258572E-3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3.6741531820737145E-3</v>
      </c>
      <c r="M681" s="452">
        <f>((DRYDEPaerosol.M+AerosolWashout.M+GasWashout.M+GASABS.aM.sM)/HEIGHT.aC)*AREAFRAC.sM</f>
        <v>3.6741531820737145E-3</v>
      </c>
      <c r="N681" s="452">
        <f>((DRYDEPaerosol.M+AerosolWashout.M+GasWashout.M+GASABS.aM.sM)/HEIGHT.aC)*AREAFRAC.sM</f>
        <v>3.6741531820737145E-3</v>
      </c>
      <c r="O681" s="452">
        <f>((DRYDEPaerosol.M+AerosolWashout.M+GasWashout.M+GASABS.aM.sM)/HEIGHT.aC)*AREAFRAC.sM</f>
        <v>3.6741531820737145E-3</v>
      </c>
      <c r="P681" s="452">
        <f>((DRYDEPaerosol.M+AerosolWashout.M+GasWashout.M+GASABS.aM.sM)/HEIGHT.aC)*AREAFRAC.sM</f>
        <v>3.6741531820737145E-3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2.352999540191509E-5</v>
      </c>
      <c r="M690" s="452">
        <f>AEROSOLdeprate.M*FRaers.aM</f>
        <v>2.352999540191509E-5</v>
      </c>
      <c r="N690" s="452">
        <f>AEROSOLdeprate.M*FRaers.aM</f>
        <v>2.352999540191509E-5</v>
      </c>
      <c r="O690" s="452">
        <f>AEROSOLdeprate.M*FRaers.aM</f>
        <v>2.352999540191509E-5</v>
      </c>
      <c r="P690" s="452">
        <f>AEROSOLdeprate.M*FRaers.aM</f>
        <v>2.352999540191509E-5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1.0622130094040873E-4</v>
      </c>
      <c r="M691" s="452">
        <f t="shared" si="17"/>
        <v>1.0622130094040873E-4</v>
      </c>
      <c r="N691" s="452">
        <f t="shared" si="17"/>
        <v>1.0622130094040873E-4</v>
      </c>
      <c r="O691" s="452">
        <f t="shared" si="17"/>
        <v>1.0622130094040873E-4</v>
      </c>
      <c r="P691" s="452">
        <f t="shared" si="17"/>
        <v>1.0622130094040873E-4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0.44073100068471405</v>
      </c>
      <c r="M692" s="452">
        <f t="shared" si="18"/>
        <v>0.44073100068471405</v>
      </c>
      <c r="N692" s="452">
        <f t="shared" si="18"/>
        <v>0.44073100068471405</v>
      </c>
      <c r="O692" s="452">
        <f t="shared" si="18"/>
        <v>0.44073100068471405</v>
      </c>
      <c r="P692" s="452">
        <f t="shared" si="18"/>
        <v>0.44073100068471405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2.9151179054053289E-3</v>
      </c>
      <c r="M786" s="452">
        <f t="shared" si="19"/>
        <v>2.9151179054053289E-3</v>
      </c>
      <c r="N786" s="452">
        <f t="shared" si="19"/>
        <v>2.9151179054053289E-3</v>
      </c>
      <c r="O786" s="452">
        <f t="shared" si="19"/>
        <v>2.9151179054053289E-3</v>
      </c>
      <c r="P786" s="452">
        <f t="shared" si="19"/>
        <v>2.9151179054053289E-3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0.99708488209459467</v>
      </c>
      <c r="M788" s="452">
        <f t="shared" si="20"/>
        <v>0.99708488209459467</v>
      </c>
      <c r="N788" s="452">
        <f t="shared" si="20"/>
        <v>0.99708488209459467</v>
      </c>
      <c r="O788" s="452">
        <f t="shared" si="20"/>
        <v>0.99708488209459467</v>
      </c>
      <c r="P788" s="452">
        <f t="shared" si="20"/>
        <v>0.99708488209459467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0.99933769729472144</v>
      </c>
      <c r="M793" s="452">
        <f t="shared" si="21"/>
        <v>0.99933769729472144</v>
      </c>
      <c r="N793" s="452">
        <f t="shared" si="21"/>
        <v>0.99933769729472144</v>
      </c>
      <c r="O793" s="452">
        <f t="shared" si="21"/>
        <v>0.99933769729472144</v>
      </c>
      <c r="P793" s="452">
        <f t="shared" si="21"/>
        <v>0.99933769729472144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0.99933769729472144</v>
      </c>
      <c r="M794" s="452">
        <f t="shared" si="22"/>
        <v>0.99933769729472144</v>
      </c>
      <c r="N794" s="452">
        <f t="shared" si="22"/>
        <v>0.99933769729472144</v>
      </c>
      <c r="O794" s="452">
        <f t="shared" si="22"/>
        <v>0.99933769729472144</v>
      </c>
      <c r="P794" s="452">
        <f t="shared" si="22"/>
        <v>0.99933769729472144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4.9100836054391223E-2</v>
      </c>
      <c r="M816" s="451">
        <f>((DRYDEPaerosol.A+AerosolWashout.A+GasWashout.A+GASABS.aA.wA)/HEIGHT.aC)*AREAFRAC.wA</f>
        <v>4.9100836054391223E-2</v>
      </c>
      <c r="N816" s="451">
        <f>((DRYDEPaerosol.A+AerosolWashout.A+GasWashout.A+GASABS.aA.wA)/HEIGHT.aC)*AREAFRAC.wA</f>
        <v>4.9100836054391223E-2</v>
      </c>
      <c r="O816" s="451">
        <f>((DRYDEPaerosol.A+AerosolWashout.A+GasWashout.A+GASABS.aA.wA)/HEIGHT.aC)*AREAFRAC.wA</f>
        <v>4.9100836054391223E-2</v>
      </c>
      <c r="P816" s="451">
        <f>((DRYDEPaerosol.A+AerosolWashout.A+GasWashout.A+GASABS.aA.wA)/HEIGHT.aC)*AREAFRAC.wA</f>
        <v>4.9100836054391223E-2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3.2732803484148164E-2</v>
      </c>
      <c r="M817" s="451">
        <f>((DRYDEPaerosol.A+AerosolWashout.A+GasWashout.A+GASABS.aA.sA)/HEIGHT.aC)*AREAFRAC.sA</f>
        <v>3.2732803484148164E-2</v>
      </c>
      <c r="N817" s="451">
        <f>((DRYDEPaerosol.A+AerosolWashout.A+GasWashout.A+GASABS.aA.sA)/HEIGHT.aC)*AREAFRAC.sA</f>
        <v>3.2732803484148164E-2</v>
      </c>
      <c r="O817" s="451">
        <f>((DRYDEPaerosol.A+AerosolWashout.A+GasWashout.A+GASABS.aA.sA)/HEIGHT.aC)*AREAFRAC.sA</f>
        <v>3.2732803484148164E-2</v>
      </c>
      <c r="P817" s="451">
        <f>((DRYDEPaerosol.A+AerosolWashout.A+GasWashout.A+GASABS.aA.sA)/HEIGHT.aC)*AREAFRAC.sA</f>
        <v>3.2732803484148164E-2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2.3247763912725882E-5</v>
      </c>
      <c r="M826" s="451">
        <f>AEROSOLdeprate.A*FRaers.aA</f>
        <v>2.3247763912725882E-5</v>
      </c>
      <c r="N826" s="451">
        <f>AEROSOLdeprate.A*FRaers.aA</f>
        <v>2.3247763912725882E-5</v>
      </c>
      <c r="O826" s="451">
        <f>AEROSOLdeprate.A*FRaers.aA</f>
        <v>2.3247763912725882E-5</v>
      </c>
      <c r="P826" s="451">
        <f>AEROSOLdeprate.A*FRaers.aA</f>
        <v>2.3247763912725882E-5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5.6498371502115854E-5</v>
      </c>
      <c r="M827" s="452">
        <f t="shared" si="23"/>
        <v>5.6498371502115854E-5</v>
      </c>
      <c r="N827" s="452">
        <f t="shared" si="23"/>
        <v>5.6498371502115854E-5</v>
      </c>
      <c r="O827" s="452">
        <f t="shared" si="23"/>
        <v>5.6498371502115854E-5</v>
      </c>
      <c r="P827" s="452">
        <f t="shared" si="23"/>
        <v>5.6498371502115854E-5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4.9098192398628093</v>
      </c>
      <c r="M828" s="452">
        <f t="shared" si="24"/>
        <v>4.9098192398628093</v>
      </c>
      <c r="N828" s="452">
        <f t="shared" si="24"/>
        <v>4.9098192398628093</v>
      </c>
      <c r="O828" s="452">
        <f t="shared" si="24"/>
        <v>4.9098192398628093</v>
      </c>
      <c r="P828" s="452">
        <f t="shared" si="24"/>
        <v>4.9098192398628093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0.5192546583226858</v>
      </c>
      <c r="M922" s="452">
        <f t="shared" si="25"/>
        <v>0.5192546583226858</v>
      </c>
      <c r="N922" s="452">
        <f t="shared" si="25"/>
        <v>0.5192546583226858</v>
      </c>
      <c r="O922" s="452">
        <f t="shared" si="25"/>
        <v>0.5192546583226858</v>
      </c>
      <c r="P922" s="452">
        <f t="shared" si="25"/>
        <v>0.5192546583226858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0.48074534167731414</v>
      </c>
      <c r="M924" s="452">
        <f t="shared" si="26"/>
        <v>0.48074534167731414</v>
      </c>
      <c r="N924" s="452">
        <f t="shared" si="26"/>
        <v>0.48074534167731414</v>
      </c>
      <c r="O924" s="452">
        <f t="shared" si="26"/>
        <v>0.48074534167731414</v>
      </c>
      <c r="P924" s="452">
        <f t="shared" si="26"/>
        <v>0.48074534167731414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0.99933769729472144</v>
      </c>
      <c r="M929" s="452">
        <f t="shared" si="27"/>
        <v>0.99933769729472144</v>
      </c>
      <c r="N929" s="452">
        <f t="shared" si="27"/>
        <v>0.99933769729472144</v>
      </c>
      <c r="O929" s="452">
        <f t="shared" si="27"/>
        <v>0.99933769729472144</v>
      </c>
      <c r="P929" s="452">
        <f t="shared" si="27"/>
        <v>0.99933769729472144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0.99933769729472144</v>
      </c>
      <c r="M930" s="452">
        <f t="shared" si="28"/>
        <v>0.99933769729472144</v>
      </c>
      <c r="N930" s="452">
        <f t="shared" si="28"/>
        <v>0.99933769729472144</v>
      </c>
      <c r="O930" s="452">
        <f t="shared" si="28"/>
        <v>0.99933769729472144</v>
      </c>
      <c r="P930" s="452">
        <f t="shared" si="28"/>
        <v>0.99933769729472144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1.5876117326674712E-3</v>
      </c>
      <c r="M952" s="451">
        <f>((DRYDEPaerosol.T+AerosolWashout.T+GasWashout.T+GASABS.aT.wT)/HEIGHT.aT)*AREAFRAC.wT</f>
        <v>1.5876117326674712E-3</v>
      </c>
      <c r="N952" s="451">
        <f>((DRYDEPaerosol.T+AerosolWashout.T+GasWashout.T+GASABS.aT.wT)/HEIGHT.aT)*AREAFRAC.wT</f>
        <v>1.5876117326674712E-3</v>
      </c>
      <c r="O952" s="451">
        <f>((DRYDEPaerosol.T+AerosolWashout.T+GasWashout.T+GASABS.aT.wT)/HEIGHT.aT)*AREAFRAC.wT</f>
        <v>1.5876117326674712E-3</v>
      </c>
      <c r="P952" s="451">
        <f>((DRYDEPaerosol.T+AerosolWashout.T+GasWashout.T+GASABS.aT.wT)/HEIGHT.aT)*AREAFRAC.wT</f>
        <v>1.5876117326674712E-3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6.7957943825524929E-4</v>
      </c>
      <c r="M953" s="451">
        <f>((DRYDEPaerosol.T+AerosolWashout.T+GasWashout.T+GASABS.aT.sT)/HEIGHT.aT)*AREAFRAC.sT</f>
        <v>6.7957943825524929E-4</v>
      </c>
      <c r="N953" s="451">
        <f>((DRYDEPaerosol.T+AerosolWashout.T+GasWashout.T+GASABS.aT.sT)/HEIGHT.aT)*AREAFRAC.sT</f>
        <v>6.7957943825524929E-4</v>
      </c>
      <c r="O953" s="451">
        <f>((DRYDEPaerosol.T+AerosolWashout.T+GasWashout.T+GASABS.aT.sT)/HEIGHT.aT)*AREAFRAC.sT</f>
        <v>6.7957943825524929E-4</v>
      </c>
      <c r="P953" s="451">
        <f>((DRYDEPaerosol.T+AerosolWashout.T+GasWashout.T+GASABS.aT.sT)/HEIGHT.aT)*AREAFRAC.sT</f>
        <v>6.7957943825524929E-4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2.3537793839004767E-5</v>
      </c>
      <c r="M962" s="451">
        <f>AEROSOLdeprate.T*FRaers.aT</f>
        <v>2.3537793839004767E-5</v>
      </c>
      <c r="N962" s="451">
        <f>AEROSOLdeprate.T*FRaers.aT</f>
        <v>2.3537793839004767E-5</v>
      </c>
      <c r="O962" s="451">
        <f>AEROSOLdeprate.T*FRaers.aT</f>
        <v>2.3537793839004767E-5</v>
      </c>
      <c r="P962" s="451">
        <f>AEROSOLdeprate.T*FRaers.aT</f>
        <v>2.3537793839004767E-5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1.9460105841749811E-4</v>
      </c>
      <c r="M963" s="452">
        <f t="shared" si="29"/>
        <v>1.9460105841749811E-4</v>
      </c>
      <c r="N963" s="452">
        <f t="shared" si="29"/>
        <v>1.9460105841749811E-4</v>
      </c>
      <c r="O963" s="452">
        <f t="shared" si="29"/>
        <v>1.9460105841749811E-4</v>
      </c>
      <c r="P963" s="452">
        <f t="shared" si="29"/>
        <v>1.9460105841749811E-4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0.13565904295464432</v>
      </c>
      <c r="M964" s="452">
        <f t="shared" si="30"/>
        <v>0.13565904295464432</v>
      </c>
      <c r="N964" s="452">
        <f t="shared" si="30"/>
        <v>0.13565904295464432</v>
      </c>
      <c r="O964" s="452">
        <f t="shared" si="30"/>
        <v>0.13565904295464432</v>
      </c>
      <c r="P964" s="452">
        <f t="shared" si="30"/>
        <v>0.13565904295464432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0.97607289323959479</v>
      </c>
      <c r="L60" s="664">
        <f t="shared" ref="L60:L65" si="2">IF(ISBLANK(I60),IF(ISNUMBER(J60)=FALSE,K60,J60),I60)</f>
        <v>0.97607289323959479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3.9711135849005027E-4</v>
      </c>
      <c r="L61" s="664">
        <f t="shared" si="2"/>
        <v>3.9711135849005027E-4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2.3529995401915089E-2</v>
      </c>
      <c r="L62" s="664">
        <f t="shared" si="2"/>
        <v>2.3529995401915089E-2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4.9158665603902462E-8</v>
      </c>
      <c r="L63" s="664">
        <f t="shared" si="2"/>
        <v>4.9158665603902462E-8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20342300.315913603</v>
      </c>
      <c r="L64" s="664">
        <f t="shared" si="2"/>
        <v>20342300.315913603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1205340070.6487617</v>
      </c>
      <c r="L65" s="664">
        <f t="shared" si="2"/>
        <v>1205340070.6487617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0.99968498850414056</v>
      </c>
      <c r="L66" s="664">
        <f>IF(ISBLANK(I66),IF(ISNUMBER(J66)=FALSE,K66,J66),I66)</f>
        <v>0.99968498850414056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102.20032562438601</v>
      </c>
      <c r="L67" s="664">
        <f>IF(ISBLANK(I67),IF(ISNUMBER(J67)=FALSE,K67,J67),I67)</f>
        <v>102.20032562438601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264.01059655875667</v>
      </c>
      <c r="L70" s="664">
        <f>IF(ISBLANK(I70),IF(ISNUMBER(J70)=FALSE,K70,J70),I70)</f>
        <v>264.01059655875667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0.99820620799108495</v>
      </c>
      <c r="L72" s="664">
        <f t="shared" ref="L72:L104" si="3">IF(ISBLANK(I72),IF(ISNUMBER(J72)=FALSE,K72,J72),I72)</f>
        <v>0.99820620799108495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3"/>
        <v>102.20032562438601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 t="shared" si="3"/>
        <v>264.01059655875667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0.99923939228777903</v>
      </c>
      <c r="L78" s="664">
        <f t="shared" si="3"/>
        <v>0.99923939228777903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99.435216023782488</v>
      </c>
      <c r="L79" s="664">
        <f t="shared" si="3"/>
        <v>99.435216023782488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3"/>
        <v>264.01059655875667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26.409494856359572</v>
      </c>
      <c r="L84" s="664">
        <f t="shared" si="3"/>
        <v>26.409494856359572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51.21898971271915</v>
      </c>
      <c r="L85" s="664">
        <f t="shared" si="3"/>
        <v>51.21898971271915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26.231033926700718</v>
      </c>
      <c r="L87" s="664">
        <f t="shared" si="3"/>
        <v>26.231033926700718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50.862067853401449</v>
      </c>
      <c r="L88" s="664">
        <f t="shared" si="3"/>
        <v>50.862067853401449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30.955150979220729</v>
      </c>
      <c r="L90" s="664">
        <f t="shared" si="3"/>
        <v>30.955150979220729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6.4609602496933077E-3</v>
      </c>
      <c r="L91" s="664">
        <f t="shared" si="3"/>
        <v>6.4609602496933077E-3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0.99353903943270516</v>
      </c>
      <c r="L92" s="664">
        <f t="shared" si="3"/>
        <v>0.99353903943270516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20.503433979592884</v>
      </c>
      <c r="L93" s="664">
        <f t="shared" si="3"/>
        <v>20.503433979592884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30.931393837430026</v>
      </c>
      <c r="L95" s="664">
        <f t="shared" si="3"/>
        <v>30.931393837430026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6.4659226496925713E-3</v>
      </c>
      <c r="L96" s="664">
        <f t="shared" si="3"/>
        <v>6.4659226496925713E-3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0.99353407703352459</v>
      </c>
      <c r="L97" s="664">
        <f t="shared" si="3"/>
        <v>0.99353407703352459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20.487595885087657</v>
      </c>
      <c r="L98" s="664">
        <f t="shared" si="3"/>
        <v>20.487595885087657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30.931393837430026</v>
      </c>
      <c r="L100" s="664">
        <f t="shared" si="3"/>
        <v>30.931393837430026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6.4659226496925713E-3</v>
      </c>
      <c r="L101" s="664">
        <f t="shared" si="3"/>
        <v>6.4659226496925713E-3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0.99353407703352459</v>
      </c>
      <c r="L102" s="664">
        <f t="shared" si="3"/>
        <v>0.99353407703352459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20.487595885087657</v>
      </c>
      <c r="L103" s="664">
        <f t="shared" si="3"/>
        <v>20.487595885087657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2.374072651935071E-8</v>
      </c>
      <c r="L108" s="664">
        <f>IF(ISBLANK(I108),IF(ISNUMBER(J108)=FALSE,K108,J108),I108)</f>
        <v>2.374072651935071E-8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2.6114799171285784E-7</v>
      </c>
      <c r="L109" s="664">
        <f t="shared" ref="L109:L137" si="4">IF(ISBLANK(I109),IF(ISNUMBER(J109)=FALSE,K109,J109),I109)</f>
        <v>2.6114799171285784E-7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4.1546531074683008E-8</v>
      </c>
      <c r="L110" s="664">
        <f t="shared" si="4"/>
        <v>4.1546531074683008E-8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1.8244019594217839E-6</v>
      </c>
      <c r="L111" s="664">
        <f t="shared" si="4"/>
        <v>1.8244019594217839E-6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4.054226576492852E-6</v>
      </c>
      <c r="L112" s="664">
        <f t="shared" si="4"/>
        <v>4.054226576492852E-6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6.7570442941547551E-7</v>
      </c>
      <c r="L113" s="664">
        <f t="shared" si="4"/>
        <v>6.7570442941547551E-7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1.893474429147487E-12</v>
      </c>
      <c r="L114" s="664">
        <f>IF(ISBLANK(I114),IF(ISNUMBER(J114)=FALSE,K114,J114),I114)</f>
        <v>1.893474429147487E-12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6.3022450457971401E-11</v>
      </c>
      <c r="L115" s="664">
        <f t="shared" si="4"/>
        <v>6.3022450457971401E-11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1.83680665698391E-11</v>
      </c>
      <c r="L116" s="664">
        <f t="shared" si="4"/>
        <v>1.83680665698391E-11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4.2270403804875319E-11</v>
      </c>
      <c r="L117" s="664">
        <f t="shared" si="4"/>
        <v>4.2270403804875319E-11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1.9185761529896352E-11</v>
      </c>
      <c r="L118" s="664">
        <f t="shared" si="4"/>
        <v>1.9185761529896352E-11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4.2161483400515841E-11</v>
      </c>
      <c r="L119" s="664">
        <f t="shared" si="4"/>
        <v>4.2161483400515841E-11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5.7643095100117848E-6</v>
      </c>
      <c r="L120" s="664">
        <f t="shared" si="4"/>
        <v>5.7643095100117848E-6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2.5346526134205699E-5</v>
      </c>
      <c r="L121" s="664">
        <f t="shared" si="4"/>
        <v>2.5346526134205699E-5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1.9606143730954318E-5</v>
      </c>
      <c r="L122" s="664">
        <f t="shared" si="4"/>
        <v>1.9606143730954318E-5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7.366842356627169E-3</v>
      </c>
      <c r="L123" s="664">
        <f t="shared" si="4"/>
        <v>7.366842356627169E-3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2.3927106760405139E-5</v>
      </c>
      <c r="L126" s="664">
        <f t="shared" si="4"/>
        <v>2.3927106760405139E-5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1.7409729390052177E-3</v>
      </c>
      <c r="L127" s="664">
        <f t="shared" si="4"/>
        <v>1.7409729390052177E-3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7.3455191670639692</v>
      </c>
      <c r="L128" s="664">
        <f t="shared" si="4"/>
        <v>7.3455191670639692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3.7735276288031836E-3</v>
      </c>
      <c r="L131" s="664">
        <f t="shared" ref="L131:L134" si="5">IF(ISBLANK(I131),IF(ISNUMBER(J131)=FALSE,K131,J131),I131)</f>
        <v>3.7735276288031836E-3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1.0222970376939818E-3</v>
      </c>
      <c r="L132" s="664">
        <f t="shared" si="5"/>
        <v>1.0222970376939818E-3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1.893474429147487E-10</v>
      </c>
      <c r="L133" s="664">
        <f t="shared" si="5"/>
        <v>1.893474429147487E-10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1.890673513739142E-10</v>
      </c>
      <c r="L134" s="664">
        <f t="shared" si="5"/>
        <v>1.890673513739142E-10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1.8368066569839099E-10</v>
      </c>
      <c r="L135" s="664">
        <f t="shared" si="4"/>
        <v>1.8368066569839099E-10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3.8661873187415758E-3</v>
      </c>
      <c r="L136" s="664">
        <f t="shared" si="4"/>
        <v>3.8661873187415758E-3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4.6712434275245704E-6</v>
      </c>
      <c r="L137" s="664">
        <f t="shared" si="4"/>
        <v>4.6712434275245704E-6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2.1135201902437659E-12</v>
      </c>
      <c r="L138" s="664">
        <f t="shared" ref="L138:L145" si="6">IF(ISBLANK(I138),IF(ISNUMBER(J138)=FALSE,K138,J138),I138)</f>
        <v>2.1135201902437659E-12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3.8371523059792708E-12</v>
      </c>
      <c r="L139" s="664">
        <f t="shared" si="6"/>
        <v>3.8371523059792708E-12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2.1080741700257921E-12</v>
      </c>
      <c r="L140" s="664">
        <f t="shared" si="6"/>
        <v>2.1080741700257921E-12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2.6453105432102753E-8</v>
      </c>
      <c r="L147" s="664">
        <f t="shared" ref="L147:L167" si="7">IF(ISBLANK(I147),IF(ISNUMBER(J147)=FALSE,K147,J147),I147)</f>
        <v>2.6453105432102753E-8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4.9492355023972612E-9</v>
      </c>
      <c r="L148" s="664">
        <f t="shared" si="7"/>
        <v>4.9492355023972612E-9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6.0755804044606696E-8</v>
      </c>
      <c r="L149" s="664">
        <f t="shared" si="7"/>
        <v>6.0755804044606696E-8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4.3682943293577E-8</v>
      </c>
      <c r="L150" s="664">
        <f t="shared" si="7"/>
        <v>4.3682943293577E-8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5.1903703961662373E-8</v>
      </c>
      <c r="L151" s="664">
        <f t="shared" si="7"/>
        <v>5.1903703961662373E-8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2.20083250063939E-8</v>
      </c>
      <c r="L153" s="664">
        <f t="shared" si="7"/>
        <v>2.20083250063939E-8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2.7455612334645886E-8</v>
      </c>
      <c r="L162" s="664">
        <f t="shared" si="7"/>
        <v>2.7455612334645886E-8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1.0414796134741724E-9</v>
      </c>
      <c r="L163" s="664">
        <f t="shared" si="7"/>
        <v>1.0414796134741724E-9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2.7484030017578719E-8</v>
      </c>
      <c r="L164" s="664">
        <f t="shared" si="7"/>
        <v>2.7484030017578719E-8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1.0485652442030531E-9</v>
      </c>
      <c r="L165" s="664">
        <f t="shared" si="7"/>
        <v>1.0485652442030531E-9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4.1985331810591978E-9</v>
      </c>
      <c r="L169" s="664">
        <f t="shared" ref="L169:L183" si="8">IF(ISBLANK(I169),IF(ISNUMBER(J169)=FALSE,K169,J169),I169)</f>
        <v>4.1985331810591978E-9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1.9120199778154223E-9</v>
      </c>
      <c r="L170" s="664">
        <f t="shared" si="8"/>
        <v>1.9120199778154223E-9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4.2017408811478692E-9</v>
      </c>
      <c r="L171" s="664">
        <f t="shared" si="8"/>
        <v>4.2017408811478692E-9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3.8168483464174523E-10</v>
      </c>
      <c r="L172" s="664">
        <f t="shared" si="8"/>
        <v>3.8168483464174523E-10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1.7381999798322019E-10</v>
      </c>
      <c r="L173" s="664">
        <f t="shared" si="8"/>
        <v>1.7381999798322019E-10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3.8197644374071532E-10</v>
      </c>
      <c r="L174" s="664">
        <f t="shared" si="8"/>
        <v>3.8197644374071532E-10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9.0459815058013851E-6</v>
      </c>
      <c r="L187" s="664">
        <f t="shared" ref="L187:L211" si="9">IF(ISBLANK(I187),IF(ISNUMBER(J187)=FALSE,K187,J187),I187)</f>
        <v>9.0459815058013851E-6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8.685696044300724E-8</v>
      </c>
      <c r="L188" s="664">
        <f>IF(ISBLANK(I188),IF(ISNUMBER(J188)=FALSE,K188,J188),I188)</f>
        <v>8.685696044300724E-8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8.6728477588904822E-8</v>
      </c>
      <c r="L189" s="664">
        <f t="shared" si="9"/>
        <v>8.6728477588904822E-8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8.6818245114295561E-8</v>
      </c>
      <c r="L190" s="664">
        <f t="shared" si="9"/>
        <v>8.6818245114295561E-8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1.2561171773023441E-8</v>
      </c>
      <c r="L191" s="664">
        <f t="shared" si="9"/>
        <v>1.2561171773023441E-8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1.0580096758225705E-8</v>
      </c>
      <c r="L192" s="664">
        <f t="shared" si="9"/>
        <v>1.0580096758225705E-8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4.3486201567445368E-8</v>
      </c>
      <c r="L193" s="664">
        <f t="shared" si="9"/>
        <v>4.3486201567445368E-8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4.3469483354178676E-8</v>
      </c>
      <c r="L194" s="664">
        <f t="shared" si="9"/>
        <v>4.3469483354178676E-8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4.3486225145605207E-8</v>
      </c>
      <c r="L195" s="664">
        <f t="shared" si="9"/>
        <v>4.3486225145605207E-8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9.0456151799195571E-6</v>
      </c>
      <c r="L197" s="664">
        <f t="shared" si="9"/>
        <v>9.0456151799195571E-6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8.685696044300724E-8</v>
      </c>
      <c r="L200" s="664">
        <f>IF(ISBLANK(I200),IF(ISNUMBER(J200)=FALSE,K200,J200),I200)</f>
        <v>8.685696044300724E-8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8.6728477588904822E-8</v>
      </c>
      <c r="L201" s="664">
        <f t="shared" si="9"/>
        <v>8.6728477588904822E-8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8.6818245114295561E-8</v>
      </c>
      <c r="L202" s="664">
        <f t="shared" si="9"/>
        <v>8.6818245114295561E-8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9.6658035166392018E-9</v>
      </c>
      <c r="L207" s="664">
        <f t="shared" si="9"/>
        <v>9.6658035166392018E-9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9.6658035166392018E-9</v>
      </c>
      <c r="L208" s="664">
        <f t="shared" si="9"/>
        <v>9.6658035166392018E-9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0.97607289323959479</v>
      </c>
      <c r="L66" s="664">
        <f t="shared" ref="L66:L110" si="2">IF(ISBLANK(I66),IF(ISNUMBER(J66)=FALSE,K66,J66),I66)</f>
        <v>0.97607289323959479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3.9711135849005027E-4</v>
      </c>
      <c r="L67" s="664">
        <f t="shared" si="2"/>
        <v>3.9711135849005027E-4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2.3529995401915089E-2</v>
      </c>
      <c r="L68" s="664">
        <f t="shared" si="2"/>
        <v>2.3529995401915089E-2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4.9158665603902462E-8</v>
      </c>
      <c r="L69" s="664">
        <f t="shared" ref="L69:L71" si="3">IF(ISBLANK(I69),IF(ISNUMBER(J69)=FALSE,K69,J69),I69)</f>
        <v>4.9158665603902462E-8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20342300.315913603</v>
      </c>
      <c r="L70" s="664">
        <f t="shared" si="3"/>
        <v>20342300.315913603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1205340070.6487617</v>
      </c>
      <c r="L71" s="664">
        <f t="shared" si="3"/>
        <v>1205340070.6487617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0.99968498850414056</v>
      </c>
      <c r="L72" s="664">
        <f t="shared" si="2"/>
        <v>0.99968498850414056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2"/>
        <v>102.20032562438601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>IF(ISBLANK(I76),IF(ISNUMBER(J76)=FALSE,K76,J76),I76)</f>
        <v>264.01059655875667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0.99820620799108495</v>
      </c>
      <c r="L78" s="677">
        <f t="shared" si="2"/>
        <v>0.99820620799108495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102.20032562438601</v>
      </c>
      <c r="L79" s="664">
        <f t="shared" si="2"/>
        <v>102.20032562438601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2"/>
        <v>264.01059655875667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0.99923939228777903</v>
      </c>
      <c r="L84" s="664">
        <f t="shared" si="2"/>
        <v>0.99923939228777903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99.435216023782488</v>
      </c>
      <c r="L85" s="664">
        <f t="shared" si="2"/>
        <v>99.435216023782488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264.01059655875667</v>
      </c>
      <c r="L88" s="664">
        <f t="shared" si="2"/>
        <v>264.01059655875667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26.409494856359572</v>
      </c>
      <c r="L90" s="664">
        <f t="shared" si="2"/>
        <v>26.409494856359572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51.21898971271915</v>
      </c>
      <c r="L91" s="664">
        <f t="shared" si="2"/>
        <v>51.21898971271915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26.231033926700718</v>
      </c>
      <c r="L93" s="664">
        <f t="shared" si="2"/>
        <v>26.231033926700718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50.862067853401449</v>
      </c>
      <c r="L94" s="664">
        <f t="shared" si="2"/>
        <v>50.862067853401449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30.955150979220729</v>
      </c>
      <c r="L96" s="664">
        <f t="shared" si="2"/>
        <v>30.955150979220729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6.4609602496933077E-3</v>
      </c>
      <c r="L97" s="664">
        <f t="shared" si="2"/>
        <v>6.4609602496933077E-3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0.99353903943270516</v>
      </c>
      <c r="L98" s="664">
        <f t="shared" si="2"/>
        <v>0.99353903943270516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20.503433979592884</v>
      </c>
      <c r="L99" s="664">
        <f t="shared" si="2"/>
        <v>20.503433979592884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30.931393837430026</v>
      </c>
      <c r="L101" s="664">
        <f t="shared" si="2"/>
        <v>30.931393837430026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6.4659226496925713E-3</v>
      </c>
      <c r="L102" s="664">
        <f t="shared" si="2"/>
        <v>6.4659226496925713E-3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0.99353407703352459</v>
      </c>
      <c r="L103" s="664">
        <f t="shared" si="2"/>
        <v>0.99353407703352459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20.487595885087657</v>
      </c>
      <c r="L104" s="664">
        <f t="shared" si="2"/>
        <v>20.487595885087657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30.931393837430026</v>
      </c>
      <c r="L106" s="664">
        <f t="shared" si="2"/>
        <v>30.931393837430026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6.4659226496925713E-3</v>
      </c>
      <c r="L107" s="664">
        <f t="shared" si="2"/>
        <v>6.4659226496925713E-3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0.99353407703352459</v>
      </c>
      <c r="L108" s="664">
        <f t="shared" si="2"/>
        <v>0.99353407703352459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20.487595885087657</v>
      </c>
      <c r="L109" s="664">
        <f t="shared" si="2"/>
        <v>20.487595885087657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1.1541526550681395E-8</v>
      </c>
      <c r="L114" s="664">
        <f>IF(ISBLANK(I114),IF(ISNUMBER(J114)=FALSE,K114,J114),I114)</f>
        <v>1.1541526550681395E-8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1.2695679205749533E-7</v>
      </c>
      <c r="L115" s="664">
        <f t="shared" ref="L115:L136" si="4">IF(ISBLANK(I115),IF(ISNUMBER(J115)=FALSE,K115,J115),I115)</f>
        <v>1.2695679205749533E-7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4.91800198615723E-6</v>
      </c>
      <c r="L116" s="664">
        <f t="shared" si="4"/>
        <v>4.91800198615723E-6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8.8680928962836139E-7</v>
      </c>
      <c r="L117" s="664">
        <f t="shared" si="4"/>
        <v>8.8680928962836139E-7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1.9706873102852476E-6</v>
      </c>
      <c r="L118" s="664">
        <f t="shared" si="4"/>
        <v>1.9706873102852476E-6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3.2844788504754116E-7</v>
      </c>
      <c r="L119" s="664">
        <f t="shared" si="4"/>
        <v>3.2844788504754116E-7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1.893474429147487E-12</v>
      </c>
      <c r="L120" s="664">
        <f>IF(ISBLANK(I120),IF(ISNUMBER(J120)=FALSE,K120,J120),I120)</f>
        <v>1.893474429147487E-12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6.3022450457971401E-11</v>
      </c>
      <c r="L121" s="664">
        <f t="shared" si="4"/>
        <v>6.3022450457971401E-11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9.1840332849195498E-13</v>
      </c>
      <c r="L122" s="664">
        <f t="shared" si="4"/>
        <v>9.1840332849195498E-13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4.2270403804875319E-11</v>
      </c>
      <c r="L123" s="664">
        <f t="shared" si="4"/>
        <v>4.2270403804875319E-11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1.9171042655211198E-11</v>
      </c>
      <c r="L124" s="664">
        <f t="shared" si="4"/>
        <v>1.9171042655211198E-11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4.2129138080798124E-11</v>
      </c>
      <c r="L125" s="664">
        <f t="shared" si="4"/>
        <v>4.2129138080798124E-11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5.7610849776266043E-6</v>
      </c>
      <c r="L126" s="664">
        <f t="shared" si="4"/>
        <v>5.7610849776266043E-6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1.8970235933272708E-5</v>
      </c>
      <c r="L127" s="664">
        <f t="shared" si="4"/>
        <v>1.8970235933272708E-5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1.323307806240651E-5</v>
      </c>
      <c r="L128" s="664">
        <f t="shared" si="4"/>
        <v>1.323307806240651E-5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7.3604692909586206E-3</v>
      </c>
      <c r="L129" s="664">
        <f t="shared" si="4"/>
        <v>7.3604692909586206E-3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2.3927106760405139E-5</v>
      </c>
      <c r="L132" s="664">
        <f t="shared" si="4"/>
        <v>2.3927106760405139E-5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1.7409729390052175E-3</v>
      </c>
      <c r="L133" s="664">
        <f t="shared" si="4"/>
        <v>1.7409729390052175E-3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7.3455191670639692</v>
      </c>
      <c r="L134" s="664">
        <f t="shared" si="4"/>
        <v>7.3455191670639692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3.7735276288031836E-3</v>
      </c>
      <c r="L137" s="664">
        <f t="shared" ref="L137:L151" si="5">IF(ISBLANK(I137),IF(ISNUMBER(J137)=FALSE,K137,J137),I137)</f>
        <v>3.7735276288031836E-3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1.0222970376939818E-3</v>
      </c>
      <c r="L138" s="664">
        <f t="shared" si="5"/>
        <v>1.0222970376939818E-3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1.893474429147487E-10</v>
      </c>
      <c r="L139" s="664">
        <f t="shared" si="5"/>
        <v>1.893474429147487E-10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1.890673513739142E-10</v>
      </c>
      <c r="L140" s="664">
        <f t="shared" si="5"/>
        <v>1.890673513739142E-10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1.8368066569839099E-10</v>
      </c>
      <c r="L141" s="664">
        <f t="shared" si="5"/>
        <v>1.8368066569839099E-10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3.8661873187415758E-3</v>
      </c>
      <c r="L142" s="664">
        <f t="shared" si="5"/>
        <v>3.8661873187415758E-3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4.6712434275245704E-6</v>
      </c>
      <c r="L143" s="664">
        <f t="shared" si="5"/>
        <v>4.6712434275245704E-6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2.1135201902437659E-12</v>
      </c>
      <c r="L144" s="664">
        <f t="shared" si="5"/>
        <v>2.1135201902437659E-12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3.8342085310422402E-12</v>
      </c>
      <c r="L145" s="664">
        <f t="shared" si="5"/>
        <v>3.8342085310422402E-12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2.1064569040399062E-12</v>
      </c>
      <c r="L146" s="664">
        <f t="shared" si="5"/>
        <v>2.1064569040399062E-12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2.6453105432102753E-8</v>
      </c>
      <c r="L153" s="664">
        <f t="shared" ref="L153:L173" si="6">IF(ISBLANK(I153),IF(ISNUMBER(J153)=FALSE,K153,J153),I153)</f>
        <v>2.6453105432102753E-8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2.4746177511986306E-10</v>
      </c>
      <c r="L154" s="664">
        <f t="shared" si="6"/>
        <v>2.4746177511986306E-10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6.077694390583737E-8</v>
      </c>
      <c r="L155" s="664">
        <f t="shared" si="6"/>
        <v>6.077694390583737E-8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4.3683903201830158E-8</v>
      </c>
      <c r="L156" s="664">
        <f t="shared" si="6"/>
        <v>4.3683903201830158E-8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5.1903703961662373E-8</v>
      </c>
      <c r="L157" s="664">
        <f t="shared" si="6"/>
        <v>5.1903703961662373E-8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2.20083250063939E-8</v>
      </c>
      <c r="L159" s="664">
        <f t="shared" si="6"/>
        <v>2.20083250063939E-8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2.7455612334645883E-8</v>
      </c>
      <c r="L168" s="664">
        <f t="shared" si="6"/>
        <v>2.7455612334645883E-8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1.0414796134741721E-9</v>
      </c>
      <c r="L169" s="664">
        <f t="shared" si="6"/>
        <v>1.0414796134741721E-9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2.7484030017578716E-8</v>
      </c>
      <c r="L170" s="664">
        <f t="shared" si="6"/>
        <v>2.7484030017578716E-8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1.0485652442030529E-9</v>
      </c>
      <c r="L171" s="664">
        <f t="shared" si="6"/>
        <v>1.0485652442030529E-9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4.1985331810591978E-9</v>
      </c>
      <c r="L175" s="664">
        <f t="shared" ref="L175:L177" si="7">IF(ISBLANK(I175),IF(ISNUMBER(J175)=FALSE,K175,J175),I175)</f>
        <v>4.1985331810591978E-9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1.9120199778154223E-9</v>
      </c>
      <c r="L176" s="664">
        <f t="shared" si="7"/>
        <v>1.9120199778154223E-9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4.2017408811478684E-9</v>
      </c>
      <c r="L177" s="664">
        <f t="shared" si="7"/>
        <v>4.2017408811478684E-9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3.8168483464174528E-10</v>
      </c>
      <c r="L178" s="664">
        <f t="shared" ref="L178:L180" si="8">IF(ISBLANK(I178),IF(ISNUMBER(J178)=FALSE,K178,J178),I178)</f>
        <v>3.8168483464174528E-10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1.7381999798322021E-10</v>
      </c>
      <c r="L179" s="664">
        <f t="shared" si="8"/>
        <v>1.7381999798322021E-10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3.8197644374071538E-10</v>
      </c>
      <c r="L180" s="664">
        <f t="shared" si="8"/>
        <v>3.8197644374071538E-10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9.0459815058013851E-6</v>
      </c>
      <c r="L193" s="664">
        <f t="shared" ref="L193:L217" si="11">IF(ISBLANK(I193),IF(ISNUMBER(J193)=FALSE,K193,J193),I193)</f>
        <v>9.0459815058013851E-6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8.685696044300724E-8</v>
      </c>
      <c r="L194" s="664">
        <f>IF(ISBLANK(I194),IF(ISNUMBER(J194)=FALSE,K194,J194),I194)</f>
        <v>8.685696044300724E-8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8.6728477588904822E-8</v>
      </c>
      <c r="L195" s="664">
        <f t="shared" si="11"/>
        <v>8.6728477588904822E-8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8.6818245114295561E-8</v>
      </c>
      <c r="L196" s="664">
        <f t="shared" si="11"/>
        <v>8.6818245114295561E-8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1.254003191179276E-8</v>
      </c>
      <c r="L197" s="664">
        <f t="shared" si="11"/>
        <v>1.254003191179276E-8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1.0579136849972536E-8</v>
      </c>
      <c r="L198" s="664">
        <f t="shared" si="11"/>
        <v>1.0579136849972536E-8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4.3486201567445368E-8</v>
      </c>
      <c r="L199" s="664">
        <f t="shared" si="11"/>
        <v>4.3486201567445368E-8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4.3469483354178676E-8</v>
      </c>
      <c r="L200" s="664">
        <f t="shared" si="11"/>
        <v>4.3469483354178676E-8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4.3486225145605207E-8</v>
      </c>
      <c r="L201" s="664">
        <f t="shared" si="11"/>
        <v>4.3486225145605207E-8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9.0456151799195571E-6</v>
      </c>
      <c r="L203" s="664">
        <f t="shared" si="11"/>
        <v>9.0456151799195571E-6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8.685696044300724E-8</v>
      </c>
      <c r="L206" s="664">
        <f>IF(ISBLANK(I206),IF(ISNUMBER(J206)=FALSE,K206,J206),I206)</f>
        <v>8.685696044300724E-8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8.6728477588904822E-8</v>
      </c>
      <c r="L207" s="664">
        <f t="shared" si="11"/>
        <v>8.6728477588904822E-8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8.6818245114295561E-8</v>
      </c>
      <c r="L208" s="664">
        <f t="shared" si="11"/>
        <v>8.6818245114295561E-8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64">
        <f t="shared" si="11"/>
        <v>9.6658035166392018E-9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64">
        <f t="shared" si="11"/>
        <v>9.6658035166392018E-9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0.97607289323959479</v>
      </c>
      <c r="L46" s="664">
        <f>IF(ISBLANK(I46),IF(ISNUMBER(J46)=FALSE,K46,J46),I46)</f>
        <v>0.97607289323959479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3.9711135849005027E-4</v>
      </c>
      <c r="L47" s="664">
        <f>IF(ISBLANK(I47),IF(ISNUMBER(J47)=FALSE,K47,J47),I47)</f>
        <v>3.9711135849005027E-4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2.3529995401915089E-2</v>
      </c>
      <c r="L48" s="664">
        <f>IF(ISBLANK(I48),IF(ISNUMBER(J48)=FALSE,K48,J48),I48)</f>
        <v>2.3529995401915089E-2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4.9158665603902462E-8</v>
      </c>
      <c r="L49" s="664">
        <f>IF(ISBLANK(I49),IF(ISNUMBER(J49)=FALSE,K49,J49),I49)</f>
        <v>4.9158665603902462E-8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20342300.315913603</v>
      </c>
      <c r="L51" s="664">
        <f t="shared" ref="L51:L58" si="2">IF(ISBLANK(I51),IF(ISNUMBER(J51)=FALSE,K51,J51),I51)</f>
        <v>20342300.315913603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1205340070.6487617</v>
      </c>
      <c r="L52" s="664">
        <f t="shared" si="2"/>
        <v>1205340070.6487617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0.99923939228777903</v>
      </c>
      <c r="L53" s="664">
        <f t="shared" si="2"/>
        <v>0.99923939228777903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0.99923939228777903</v>
      </c>
      <c r="L54" s="664">
        <f t="shared" si="2"/>
        <v>0.99923939228777903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99.435216023782488</v>
      </c>
      <c r="L55" s="664">
        <f t="shared" si="2"/>
        <v>99.435216023782488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99.435216023782488</v>
      </c>
      <c r="L56" s="664">
        <f t="shared" si="2"/>
        <v>99.435216023782488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264.01059655875667</v>
      </c>
      <c r="L61" s="664">
        <f>IF(ISBLANK(I61),IF(ISNUMBER(J61)=FALSE,K61,J61),I61)</f>
        <v>264.01059655875667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264.01059655875667</v>
      </c>
      <c r="L62" s="664">
        <f>IF(ISBLANK(I62),IF(ISNUMBER(J62)=FALSE,K62,J62),I62)</f>
        <v>264.01059655875667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26.231033926700718</v>
      </c>
      <c r="L65" s="664">
        <f t="shared" ref="L65:L72" si="3">IF(ISBLANK(I65),IF(ISNUMBER(J65)=FALSE,K65,J65),I65)</f>
        <v>26.231033926700718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50.862067853401449</v>
      </c>
      <c r="L66" s="664">
        <f t="shared" si="3"/>
        <v>50.862067853401449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30.955150979220729</v>
      </c>
      <c r="L68" s="664">
        <f t="shared" si="3"/>
        <v>30.955150979220729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6.4609602496933077E-3</v>
      </c>
      <c r="L69" s="664">
        <f t="shared" si="3"/>
        <v>6.4609602496933077E-3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0.99353903943270516</v>
      </c>
      <c r="L70" s="664">
        <f t="shared" si="3"/>
        <v>0.99353903943270516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20.503433979592884</v>
      </c>
      <c r="L71" s="664">
        <f t="shared" si="3"/>
        <v>20.503433979592884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4.7749757215861921E-6</v>
      </c>
      <c r="L76" s="664">
        <f t="shared" ref="L76:L89" si="4">IF(ISBLANK(I76),IF(ISNUMBER(J76)=FALSE,K76,J76),I76)</f>
        <v>4.7749757215861921E-6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3.3993581694431856E-6</v>
      </c>
      <c r="L77" s="664">
        <f t="shared" si="4"/>
        <v>3.3993581694431856E-6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1.83680665698391E-12</v>
      </c>
      <c r="L78" s="664">
        <f t="shared" si="4"/>
        <v>1.83680665698391E-12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4.2270403804875319E-11</v>
      </c>
      <c r="L79" s="664">
        <f t="shared" si="4"/>
        <v>4.2270403804875319E-11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5.7764193011923899E-6</v>
      </c>
      <c r="L80" s="664">
        <f t="shared" si="4"/>
        <v>5.7764193011923899E-6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1.838451986374086E-5</v>
      </c>
      <c r="L81" s="664">
        <f t="shared" si="4"/>
        <v>1.838451986374086E-5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1.2632027669308876E-5</v>
      </c>
      <c r="L82" s="664">
        <f t="shared" si="4"/>
        <v>1.2632027669308876E-5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7.3598682405655235E-3</v>
      </c>
      <c r="L83" s="664">
        <f t="shared" si="4"/>
        <v>7.3598682405655235E-3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2.3927106760405139E-5</v>
      </c>
      <c r="L86" s="664">
        <f t="shared" si="4"/>
        <v>2.3927106760405139E-5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1.7409729390052175E-3</v>
      </c>
      <c r="L87" s="664">
        <f t="shared" si="4"/>
        <v>1.7409729390052175E-3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7.3455191670639692</v>
      </c>
      <c r="L88" s="664">
        <f t="shared" si="4"/>
        <v>7.3455191670639692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3.7735321419799942E-3</v>
      </c>
      <c r="L92" s="664">
        <f t="shared" si="5"/>
        <v>3.7735321419799942E-3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1.0222970376939818E-3</v>
      </c>
      <c r="L93" s="664">
        <f>IF(ISBLANK(I93),IF(ISNUMBER(J93)=FALSE,K93,J93),I93)</f>
        <v>1.0222970376939818E-3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1.8368066569839099E-10</v>
      </c>
      <c r="L94" s="664">
        <f>IF(ISBLANK(I94),IF(ISNUMBER(J94)=FALSE,K94,J94),I94)</f>
        <v>1.8368066569839099E-10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2.1135201902437659E-12</v>
      </c>
      <c r="L95" s="664">
        <f>IF(ISBLANK(I95),IF(ISNUMBER(J95)=FALSE,K95,J95),I95)</f>
        <v>2.1135201902437659E-12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3.8661873187415758E-3</v>
      </c>
      <c r="L96" s="664">
        <f t="shared" si="5"/>
        <v>3.8661873187415758E-3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4.6712434275245704E-6</v>
      </c>
      <c r="L97" s="664">
        <f t="shared" si="5"/>
        <v>4.6712434275245704E-6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1.6497451674657539E-11</v>
      </c>
      <c r="L103" s="664">
        <f t="shared" ref="L103:L109" si="6">IF(ISBLANK(I103),IF(ISNUMBER(J103)=FALSE,K103,J103),I103)</f>
        <v>1.6497451674657539E-11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4.4594252600848833E-8</v>
      </c>
      <c r="L104" s="664">
        <f t="shared" si="6"/>
        <v>4.4594252600848833E-8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2.20083250063939E-8</v>
      </c>
      <c r="L105" s="664">
        <f t="shared" si="6"/>
        <v>2.20083250063939E-8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2.7484030017578716E-8</v>
      </c>
      <c r="L111" s="664">
        <f>IF(ISBLANK(I111),IF(ISNUMBER(J111)=FALSE,K111,J111),I111)</f>
        <v>2.7484030017578716E-8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1.0485652442030529E-9</v>
      </c>
      <c r="L112" s="664">
        <f>IF(ISBLANK(I112),IF(ISNUMBER(J112)=FALSE,K112,J112),I112)</f>
        <v>1.0485652442030529E-9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4.580218015700943E-9</v>
      </c>
      <c r="L116" s="664">
        <f>IF(ISBLANK(I116),IF(ISNUMBER(J116)=FALSE,K116,J116),I116)</f>
        <v>4.580218015700943E-9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9.0459815058013851E-6</v>
      </c>
      <c r="L123" s="664">
        <f t="shared" ref="L123:L138" si="7">IF(ISBLANK(I123),IF(ISNUMBER(J123)=FALSE,K123,J123),I123)</f>
        <v>9.0459815058013851E-6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8.6818245114295561E-8</v>
      </c>
      <c r="L124" s="664">
        <f t="shared" si="7"/>
        <v>8.6818245114295561E-8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8.6818245114295561E-8</v>
      </c>
      <c r="L125" s="664">
        <f t="shared" si="7"/>
        <v>8.6818245114295561E-8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9.668787450953858E-9</v>
      </c>
      <c r="L126" s="664">
        <f t="shared" si="7"/>
        <v>9.668787450953858E-9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4.3486201567445368E-8</v>
      </c>
      <c r="L127" s="664">
        <f t="shared" si="7"/>
        <v>4.3486201567445368E-8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9.0456151799195571E-6</v>
      </c>
      <c r="L129" s="664">
        <f t="shared" si="7"/>
        <v>9.0456151799195571E-6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8.6818245114295561E-8</v>
      </c>
      <c r="L132" s="664">
        <f t="shared" si="7"/>
        <v>8.6818245114295561E-8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8.6818245114295561E-8</v>
      </c>
      <c r="L133" s="664">
        <f t="shared" si="7"/>
        <v>8.6818245114295561E-8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9.6658035166392018E-9</v>
      </c>
      <c r="L137" s="664">
        <f t="shared" si="7"/>
        <v>9.6658035166392018E-9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0.96436534712618549</v>
      </c>
      <c r="L182" s="664">
        <f>IF(ISBLANK(I182),IF(ISNUMBER(J182)=FALSE,K182,J182),I182)</f>
        <v>0.96436534712618549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1.2386888961088596E-2</v>
      </c>
      <c r="L183" s="664">
        <f>IF(ISBLANK(I183),IF(ISNUMBER(J183)=FALSE,K183,J183),I183)</f>
        <v>1.2386888961088596E-2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2.3247763912725882E-2</v>
      </c>
      <c r="L184" s="664">
        <f>IF(ISBLANK(I184),IF(ISNUMBER(J184)=FALSE,K184,J184),I184)</f>
        <v>2.3247763912725882E-2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1.557074866700018E-9</v>
      </c>
      <c r="L185" s="664">
        <f>IF(ISBLANK(I185),IF(ISNUMBER(J185)=FALSE,K185,J185),I185)</f>
        <v>1.557074866700018E-9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642230094.53842366</v>
      </c>
      <c r="L187" s="664">
        <f t="shared" ref="L187:L194" si="10">IF(ISBLANK(I187),IF(ISNUMBER(J187)=FALSE,K187,J187),I187)</f>
        <v>642230094.53842366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1205340070.6487617</v>
      </c>
      <c r="L188" s="664">
        <f t="shared" si="10"/>
        <v>1205340070.6487617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0.99923939228777903</v>
      </c>
      <c r="L189" s="664">
        <f t="shared" si="10"/>
        <v>0.99923939228777903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0.99923939228777903</v>
      </c>
      <c r="L190" s="664">
        <f t="shared" si="10"/>
        <v>0.99923939228777903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99.435216023782488</v>
      </c>
      <c r="L191" s="664">
        <f t="shared" si="10"/>
        <v>99.435216023782488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99.435216023782488</v>
      </c>
      <c r="L192" s="664">
        <f t="shared" si="10"/>
        <v>99.435216023782488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264.01059655875667</v>
      </c>
      <c r="L197" s="664">
        <f>IF(ISBLANK(I197),IF(ISNUMBER(J197)=FALSE,K197,J197),I197)</f>
        <v>264.01059655875667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264.01059655875667</v>
      </c>
      <c r="L198" s="664">
        <f>IF(ISBLANK(I198),IF(ISNUMBER(J198)=FALSE,K198,J198),I198)</f>
        <v>264.01059655875667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26.231033926700718</v>
      </c>
      <c r="L201" s="664">
        <f t="shared" ref="L201:L208" si="11">IF(ISBLANK(I201),IF(ISNUMBER(J201)=FALSE,K201,J201),I201)</f>
        <v>26.231033926700718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50.862067853401449</v>
      </c>
      <c r="L202" s="664">
        <f t="shared" si="11"/>
        <v>50.862067853401449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30.955150969700735</v>
      </c>
      <c r="L204" s="664">
        <f t="shared" si="11"/>
        <v>30.955150969700735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6.4609602516803215E-3</v>
      </c>
      <c r="L205" s="664">
        <f t="shared" si="11"/>
        <v>6.4609602516803215E-3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0.99353903973825985</v>
      </c>
      <c r="L206" s="664">
        <f t="shared" si="11"/>
        <v>0.99353903973825985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20.503433979592884</v>
      </c>
      <c r="L207" s="664">
        <f t="shared" si="11"/>
        <v>20.503433979592884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5.7639436414589887E-6</v>
      </c>
      <c r="L212" s="664">
        <f t="shared" ref="L212:L225" si="12">IF(ISBLANK(I212),IF(ISNUMBER(J212)=FALSE,K212,J212),I212)</f>
        <v>5.7639436414589887E-6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2.7554103149897485E-6</v>
      </c>
      <c r="L213" s="664">
        <f t="shared" si="12"/>
        <v>2.7554103149897485E-6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5.8182101402276973E-14</v>
      </c>
      <c r="L214" s="664">
        <f t="shared" si="12"/>
        <v>5.8182101402276973E-14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1.3393308083542548E-12</v>
      </c>
      <c r="L215" s="664">
        <f t="shared" si="12"/>
        <v>1.3393308083542548E-12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5.8781603074910724E-6</v>
      </c>
      <c r="L216" s="664">
        <f t="shared" si="12"/>
        <v>5.8781603074910724E-6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1.6685678004500911E-5</v>
      </c>
      <c r="L217" s="664">
        <f t="shared" si="12"/>
        <v>1.6685678004500911E-5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1.0843152349883652E-5</v>
      </c>
      <c r="L218" s="664">
        <f t="shared" si="12"/>
        <v>1.0843152349883652E-5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8.1841770227934568E-2</v>
      </c>
      <c r="L219" s="664">
        <f t="shared" si="12"/>
        <v>8.1841770227934568E-2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3.5634652873814484E-5</v>
      </c>
      <c r="L222" s="664">
        <f t="shared" si="12"/>
        <v>3.5634652873814484E-5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6.1431813146683902E-4</v>
      </c>
      <c r="L223" s="664">
        <f t="shared" si="12"/>
        <v>6.1431813146683902E-4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81.830348392106089</v>
      </c>
      <c r="L224" s="664">
        <f t="shared" si="12"/>
        <v>81.830348392106089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3.7284124282739089E-3</v>
      </c>
      <c r="L228" s="664">
        <f t="shared" si="13"/>
        <v>3.7284124282739089E-3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1.0103654799832984E-3</v>
      </c>
      <c r="L229" s="664">
        <f>IF(ISBLANK(I229),IF(ISNUMBER(J229)=FALSE,K229,J229),I229)</f>
        <v>1.0103654799832984E-3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5.8182101402276977E-12</v>
      </c>
      <c r="L230" s="664">
        <f t="shared" si="13"/>
        <v>5.8182101402276977E-12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6.6966540417712738E-14</v>
      </c>
      <c r="L231" s="664">
        <f>IF(ISBLANK(I231),IF(ISNUMBER(J231)=FALSE,K231,J231),I231)</f>
        <v>6.6966540417712738E-14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3.8661873187415758E-3</v>
      </c>
      <c r="L232" s="664">
        <f t="shared" si="13"/>
        <v>3.8661873187415758E-3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4.6712434275245704E-6</v>
      </c>
      <c r="L233" s="664">
        <f t="shared" si="13"/>
        <v>4.6712434275245704E-6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1.6497451674657539E-11</v>
      </c>
      <c r="L239" s="664">
        <f t="shared" ref="L239:L245" si="14">IF(ISBLANK(I239),IF(ISNUMBER(J239)=FALSE,K239,J239),I239)</f>
        <v>1.6497451674657539E-11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4.4595122549031241E-8</v>
      </c>
      <c r="L240" s="664">
        <f t="shared" si="14"/>
        <v>4.4595122549031241E-8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2.20083250063939E-8</v>
      </c>
      <c r="L241" s="664">
        <f t="shared" si="14"/>
        <v>2.20083250063939E-8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2.7484030017578716E-8</v>
      </c>
      <c r="L247" s="664">
        <f>IF(ISBLANK(I247),IF(ISNUMBER(J247)=FALSE,K247,J247),I247)</f>
        <v>2.7484030017578716E-8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1.0485652442030529E-9</v>
      </c>
      <c r="L248" s="664">
        <f>IF(ISBLANK(I248),IF(ISNUMBER(J248)=FALSE,K248,J248),I248)</f>
        <v>1.0485652442030529E-9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1.6513345540686168E-9</v>
      </c>
      <c r="L252" s="664">
        <f>IF(ISBLANK(I252),IF(ISNUMBER(J252)=FALSE,K252,J252),I252)</f>
        <v>1.6513345540686168E-9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7.4743485216883895E-6</v>
      </c>
      <c r="L259" s="664">
        <f t="shared" ref="L259:L274" si="15">IF(ISBLANK(I259),IF(ISNUMBER(J259)=FALSE,K259,J259),I259)</f>
        <v>7.4743485216883895E-6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1.8894918047157747E-8</v>
      </c>
      <c r="L260" s="664">
        <f t="shared" si="15"/>
        <v>1.8894918047157747E-8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1.8894918047157747E-8</v>
      </c>
      <c r="L261" s="664">
        <f t="shared" si="15"/>
        <v>1.8894918047157747E-8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9.4685168992258617E-9</v>
      </c>
      <c r="L263" s="664">
        <f t="shared" si="15"/>
        <v>9.4685168992258617E-9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7.4739821958065615E-6</v>
      </c>
      <c r="L265" s="664">
        <f t="shared" si="15"/>
        <v>7.4739821958065615E-6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1.8894918047157747E-8</v>
      </c>
      <c r="L268" s="664">
        <f t="shared" si="15"/>
        <v>1.8894918047157747E-8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1.8894918047157747E-8</v>
      </c>
      <c r="L269" s="664">
        <f t="shared" si="15"/>
        <v>1.8894918047157747E-8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0.97639638854517607</v>
      </c>
      <c r="L318" s="664">
        <f>IF(ISBLANK(I318),IF(ISNUMBER(J318)=FALSE,K318,J318),I318)</f>
        <v>0.97639638854517607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6.581761581910175E-5</v>
      </c>
      <c r="L319" s="664">
        <f>IF(ISBLANK(I319),IF(ISNUMBER(J319)=FALSE,K319,J319),I319)</f>
        <v>6.581761581910175E-5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2.3537793839004766E-2</v>
      </c>
      <c r="L320" s="664">
        <f>IF(ISBLANK(I320),IF(ISNUMBER(J320)=FALSE,K320,J320),I320)</f>
        <v>2.3537793839004766E-2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2.9669768715870563E-7</v>
      </c>
      <c r="L321" s="664">
        <f>IF(ISBLANK(I321),IF(ISNUMBER(J321)=FALSE,K321,J321),I321)</f>
        <v>2.9669768715870563E-7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3370435.2346678358</v>
      </c>
      <c r="L323" s="664">
        <f t="shared" ref="L323:L330" si="18">IF(ISBLANK(I323),IF(ISNUMBER(J323)=FALSE,K323,J323),I323)</f>
        <v>3370435.2346678358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1205340070.6487617</v>
      </c>
      <c r="L324" s="664">
        <f t="shared" si="18"/>
        <v>1205340070.6487617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0.99923939228777903</v>
      </c>
      <c r="L325" s="664">
        <f t="shared" si="18"/>
        <v>0.99923939228777903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0.99923939228777903</v>
      </c>
      <c r="L326" s="664">
        <f t="shared" si="18"/>
        <v>0.99923939228777903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99.435216023782488</v>
      </c>
      <c r="L327" s="664">
        <f t="shared" si="18"/>
        <v>99.435216023782488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99.435216023782488</v>
      </c>
      <c r="L328" s="664">
        <f t="shared" si="18"/>
        <v>99.435216023782488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264.01059655875667</v>
      </c>
      <c r="L333" s="664">
        <f>IF(ISBLANK(I333),IF(ISNUMBER(J333)=FALSE,K333,J333),I333)</f>
        <v>264.01059655875667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264.01059655875667</v>
      </c>
      <c r="L334" s="664">
        <f>IF(ISBLANK(I334),IF(ISNUMBER(J334)=FALSE,K334,J334),I334)</f>
        <v>264.01059655875667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26.231033926700718</v>
      </c>
      <c r="L337" s="664">
        <f t="shared" ref="L337:L344" si="19">IF(ISBLANK(I337),IF(ISNUMBER(J337)=FALSE,K337,J337),I337)</f>
        <v>26.231033926700718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50.862067853401449</v>
      </c>
      <c r="L338" s="664">
        <f t="shared" si="19"/>
        <v>50.862067853401449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30.955151028726856</v>
      </c>
      <c r="L340" s="664">
        <f t="shared" si="19"/>
        <v>30.955151028726856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6.4609602393603874E-3</v>
      </c>
      <c r="L341" s="664">
        <f t="shared" si="19"/>
        <v>6.4609602393603874E-3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0.99353903784375253</v>
      </c>
      <c r="L342" s="664">
        <f t="shared" si="19"/>
        <v>0.99353903784375253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20.503433979592884</v>
      </c>
      <c r="L343" s="664">
        <f t="shared" si="19"/>
        <v>20.503433979592884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6.6295470258236121E-6</v>
      </c>
      <c r="L348" s="664">
        <f t="shared" ref="L348:L361" si="20">IF(ISBLANK(I348),IF(ISNUMBER(J348)=FALSE,K348,J348),I348)</f>
        <v>6.6295470258236121E-6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2.0156444088287383E-6</v>
      </c>
      <c r="L349" s="664">
        <f t="shared" si="20"/>
        <v>2.0156444088287383E-6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1.108387121217946E-11</v>
      </c>
      <c r="L350" s="664">
        <f t="shared" si="20"/>
        <v>1.108387121217946E-11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2.5498188135488605E-10</v>
      </c>
      <c r="L351" s="664">
        <f t="shared" si="20"/>
        <v>2.5498188135488605E-10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5.6967465230543798E-6</v>
      </c>
      <c r="L352" s="664">
        <f t="shared" si="20"/>
        <v>5.6967465230543798E-6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1.9101797991432914E-5</v>
      </c>
      <c r="L353" s="664">
        <f t="shared" si="20"/>
        <v>1.9101797991432914E-5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1.3428655079833358E-5</v>
      </c>
      <c r="L354" s="664">
        <f t="shared" si="20"/>
        <v>1.3428655079833358E-5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2.2776241738680465E-3</v>
      </c>
      <c r="L355" s="664">
        <f t="shared" si="20"/>
        <v>2.2776241738680465E-3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2.3603611454823871E-5</v>
      </c>
      <c r="L358" s="664">
        <f t="shared" si="20"/>
        <v>2.3603611454823871E-5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3.2343070343634995E-3</v>
      </c>
      <c r="L359" s="664">
        <f t="shared" si="20"/>
        <v>3.2343070343634995E-3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2.2609848153653043</v>
      </c>
      <c r="L360" s="664">
        <f t="shared" si="20"/>
        <v>2.2609848153653043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3.7740349424079233E-3</v>
      </c>
      <c r="L364" s="664">
        <f t="shared" si="21"/>
        <v>3.7740349424079233E-3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1.0220681730414127E-3</v>
      </c>
      <c r="L365" s="664">
        <f>IF(ISBLANK(I365),IF(ISNUMBER(J365)=FALSE,K365,J365),I365)</f>
        <v>1.0220681730414127E-3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1.108387121217946E-9</v>
      </c>
      <c r="L366" s="664">
        <f t="shared" si="21"/>
        <v>1.108387121217946E-9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1.2749094067744304E-11</v>
      </c>
      <c r="L367" s="664">
        <f>IF(ISBLANK(I367),IF(ISNUMBER(J367)=FALSE,K367,J367),I367)</f>
        <v>1.2749094067744304E-11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3.8661873187415758E-3</v>
      </c>
      <c r="L368" s="664">
        <f t="shared" si="21"/>
        <v>3.8661873187415758E-3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4.6712434275245704E-6</v>
      </c>
      <c r="L369" s="664">
        <f t="shared" si="21"/>
        <v>4.6712434275245704E-6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1.6497451674657539E-11</v>
      </c>
      <c r="L375" s="664">
        <f t="shared" ref="L375:L381" si="22">IF(ISBLANK(I375),IF(ISNUMBER(J375)=FALSE,K375,J375),I375)</f>
        <v>1.6497451674657539E-11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4.4595122549031241E-8</v>
      </c>
      <c r="L376" s="664">
        <f t="shared" si="22"/>
        <v>4.4595122549031241E-8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2.20083250063939E-8</v>
      </c>
      <c r="L377" s="664">
        <f t="shared" si="22"/>
        <v>2.20083250063939E-8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2.7484030017578716E-8</v>
      </c>
      <c r="L383" s="664">
        <f>IF(ISBLANK(I383),IF(ISNUMBER(J383)=FALSE,K383,J383),I383)</f>
        <v>2.7484030017578716E-8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1.0485652442030529E-9</v>
      </c>
      <c r="L384" s="664">
        <f>IF(ISBLANK(I384),IF(ISNUMBER(J384)=FALSE,K384,J384),I384)</f>
        <v>1.0485652442030529E-9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8.4853959516793628E-9</v>
      </c>
      <c r="L388" s="664">
        <f>IF(ISBLANK(I388),IF(ISNUMBER(J388)=FALSE,K388,J388),I388)</f>
        <v>8.4853959516793628E-9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1.0057249127897143E-5</v>
      </c>
      <c r="L395" s="664">
        <f t="shared" ref="L395:L410" si="23">IF(ISBLANK(I395),IF(ISNUMBER(J395)=FALSE,K395,J395),I395)</f>
        <v>1.0057249127897143E-5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2.1377159489774912E-7</v>
      </c>
      <c r="L396" s="664">
        <f t="shared" si="23"/>
        <v>2.1377159489774912E-7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2.1377159489774912E-7</v>
      </c>
      <c r="L397" s="664">
        <f t="shared" si="23"/>
        <v>2.1377159489774912E-7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2.3802113986132248E-8</v>
      </c>
      <c r="L398" s="664">
        <f t="shared" si="23"/>
        <v>2.3802113986132248E-8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1.0705701124434139E-7</v>
      </c>
      <c r="L399" s="664">
        <f t="shared" si="23"/>
        <v>1.0705701124434139E-7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1.0056882802015316E-5</v>
      </c>
      <c r="L401" s="664">
        <f t="shared" si="23"/>
        <v>1.0056882802015316E-5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2.1377159489774912E-7</v>
      </c>
      <c r="L404" s="664">
        <f t="shared" si="23"/>
        <v>2.1377159489774912E-7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2.1377159489774912E-7</v>
      </c>
      <c r="L405" s="664">
        <f t="shared" si="23"/>
        <v>2.1377159489774912E-7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2.3799999999999998E-8</v>
      </c>
      <c r="L409" s="664">
        <f t="shared" si="23"/>
        <v>2.3799999999999998E-8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1.4142267408689941</v>
      </c>
      <c r="E5" s="372">
        <v>0</v>
      </c>
      <c r="F5" s="372">
        <f>E.w1R</f>
        <v>1.4142267408689941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1.4142267408689941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-2.5346892460087525E-5</v>
      </c>
      <c r="E9" s="179">
        <f>k.w0R.aR</f>
        <v>1.893474429147487E-12</v>
      </c>
      <c r="F9" s="179">
        <f>k.w1R.aR</f>
        <v>6.3022450457971401E-11</v>
      </c>
      <c r="G9" s="179">
        <f>k.w2R.aR</f>
        <v>1.83680665698391E-11</v>
      </c>
      <c r="H9" s="376">
        <v>0</v>
      </c>
      <c r="I9" s="376">
        <v>0</v>
      </c>
      <c r="J9" s="179">
        <f>k.s1R.aR</f>
        <v>4.2270403804875319E-11</v>
      </c>
      <c r="K9" s="179">
        <f>k.s2R.aR</f>
        <v>1.9185761529896352E-11</v>
      </c>
      <c r="L9" s="179">
        <f>k.s3R.aR</f>
        <v>4.2161483400515841E-11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2.374072651935071E-8</v>
      </c>
      <c r="E10" s="378">
        <f>-k.w0R-SUM(E9,E11:E41)</f>
        <v>-8.925611419140899E-8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3.8168483464174523E-10</v>
      </c>
      <c r="K10" s="689">
        <f>k.s2R.w0R</f>
        <v>1.7381999798322019E-10</v>
      </c>
      <c r="L10" s="689">
        <f>k.s3R.w0R</f>
        <v>3.8197644374071532E-10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2.6114799171285784E-7</v>
      </c>
      <c r="E11" s="179">
        <f>k.w0R.w1R</f>
        <v>2.3972602739726025E-9</v>
      </c>
      <c r="F11" s="378">
        <f>-k.w1R-SUM(F9:F10,F12:F41)</f>
        <v>-1.8588885619790804E-7</v>
      </c>
      <c r="G11" s="376">
        <v>0</v>
      </c>
      <c r="H11" s="179">
        <f>k.sd1R.w1R</f>
        <v>6.0755804044606696E-8</v>
      </c>
      <c r="I11" s="376">
        <v>0</v>
      </c>
      <c r="J11" s="179">
        <f>k.s1R.w1R</f>
        <v>4.1985331810591978E-9</v>
      </c>
      <c r="K11" s="179">
        <f>k.s2R.w1R</f>
        <v>1.9120199778154223E-9</v>
      </c>
      <c r="L11" s="179">
        <f>k.s3R.w1R</f>
        <v>4.2017408811478692E-9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4.1546531074683008E-8</v>
      </c>
      <c r="E12" s="179">
        <f>k.w0R.w2R</f>
        <v>0</v>
      </c>
      <c r="F12" s="179">
        <f>k.w1R.w2R</f>
        <v>7.26442507264425E-8</v>
      </c>
      <c r="G12" s="378">
        <f>-k.w2R-SUM(G9:G11,G13:G41)</f>
        <v>-1.4616403007380556E-6</v>
      </c>
      <c r="H12" s="376">
        <v>0</v>
      </c>
      <c r="I12" s="179">
        <f>k.sd2R.w2R</f>
        <v>4.3682943293577E-8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2.6453105432102753E-8</v>
      </c>
      <c r="G13" s="376">
        <v>0</v>
      </c>
      <c r="H13" s="378">
        <f>-k.sd1R-SUM(H9:H12,H14:H41)</f>
        <v>-7.331697581763014E-8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4.9492355023972612E-9</v>
      </c>
      <c r="H14" s="376">
        <v>0</v>
      </c>
      <c r="I14" s="378">
        <f>-k.sd2R-SUM(I9:I13,I15:I41)</f>
        <v>-5.4263040051802709E-8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1.8244019594217839E-6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-4.8108689986951184E-8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4.054226576492852E-6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-4.5574509091507214E-8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6.7570442941547551E-7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-4.811210395389431E-8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-1.8970602259154538E-5</v>
      </c>
      <c r="N18" s="179">
        <f>k.w0C.aC</f>
        <v>1.893474429147487E-12</v>
      </c>
      <c r="O18" s="179">
        <f>k.w1C.aC</f>
        <v>6.3022450457971401E-11</v>
      </c>
      <c r="P18" s="179">
        <f>k.w2C.aC</f>
        <v>9.1840332849195498E-13</v>
      </c>
      <c r="Q18" s="376">
        <v>0</v>
      </c>
      <c r="R18" s="376">
        <v>0</v>
      </c>
      <c r="S18" s="691">
        <f>k.s1C.aC</f>
        <v>4.2270403804875319E-11</v>
      </c>
      <c r="T18" s="691">
        <f>k.s2C.aC</f>
        <v>1.9171042655211198E-11</v>
      </c>
      <c r="U18" s="691">
        <f>k.s3C.aC</f>
        <v>4.2129138080798124E-11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1.1541526550681395E-8</v>
      </c>
      <c r="N19" s="378">
        <f>-k.w0C-SUM(N9:N18,N20:N41)</f>
        <v>-8.925611419140899E-8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3.8168483464174528E-10</v>
      </c>
      <c r="T19" s="691">
        <f>k.s2C.w0C</f>
        <v>1.7381999798322021E-10</v>
      </c>
      <c r="U19" s="691">
        <f>k.s3C.w0C</f>
        <v>3.8197644374071538E-10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1.2695679205749533E-7</v>
      </c>
      <c r="N20" s="179">
        <f>k.w0C.w1C</f>
        <v>2.3972602739726029E-9</v>
      </c>
      <c r="O20" s="378">
        <f>-k.w1C-SUM(O9:O19,O21:O41)</f>
        <v>-1.8588885619790807E-7</v>
      </c>
      <c r="P20" s="376">
        <v>0</v>
      </c>
      <c r="Q20" s="179">
        <f>k.sd1C.w1C</f>
        <v>6.077694390583737E-8</v>
      </c>
      <c r="R20" s="376">
        <v>0</v>
      </c>
      <c r="S20" s="691">
        <f>k.s1C.w1C</f>
        <v>4.1985331810591978E-9</v>
      </c>
      <c r="T20" s="691">
        <f>k.s2C.w1C</f>
        <v>1.9120199778154223E-9</v>
      </c>
      <c r="U20" s="691">
        <f>k.s3C.w1C</f>
        <v>4.2017408811478684E-9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4.91800198615723E-6</v>
      </c>
      <c r="N21" s="179">
        <f>k.w0C.w2C</f>
        <v>0</v>
      </c>
      <c r="O21" s="179">
        <f>k.w1C.w2C</f>
        <v>7.2644250726442513E-8</v>
      </c>
      <c r="P21" s="378">
        <f>-k.w2C-SUM(P9:P20,P22:P41)</f>
        <v>-1.1877457280679999E-7</v>
      </c>
      <c r="Q21" s="376">
        <v>0</v>
      </c>
      <c r="R21" s="179">
        <f>k.sd2C.w2C</f>
        <v>4.3683903201830158E-8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2.6453105432102753E-8</v>
      </c>
      <c r="P22" s="376">
        <v>0</v>
      </c>
      <c r="Q22" s="378">
        <f>-k.sd1C-SUM(Q9:Q21,Q23:Q41)</f>
        <v>-7.3316975817630127E-8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2.4746177511986306E-10</v>
      </c>
      <c r="Q23" s="376">
        <v>0</v>
      </c>
      <c r="R23" s="378">
        <f>-k.sd2C-SUM(R9:R22,R24:R41)</f>
        <v>-5.4263040051802696E-8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8.8680928962836139E-7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-4.8108689986951184E-8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1.9706873102852476E-6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-4.5574494372632531E-8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3.2844788504754116E-7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-4.8112071608574591E-8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-1.8384886189622687E-5</v>
      </c>
      <c r="W27" s="179">
        <f>k.w2M.aM</f>
        <v>1.83680665698391E-12</v>
      </c>
      <c r="X27" s="376">
        <v>0</v>
      </c>
      <c r="Y27" s="376">
        <v>0</v>
      </c>
      <c r="Z27" s="179">
        <f>k.sM.aM</f>
        <v>4.2270403804875319E-11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4.7749757215861921E-6</v>
      </c>
      <c r="W28" s="378">
        <f>-k.w2M-SUM(W9:W27,W29:W41)</f>
        <v>-3.8067449252631946E-7</v>
      </c>
      <c r="X28" s="376">
        <f>k.w3M.w2M</f>
        <v>8.3037289171706622E-9</v>
      </c>
      <c r="Y28" s="179">
        <v>0</v>
      </c>
      <c r="Z28" s="179">
        <f>k.sM.w2M</f>
        <v>4.580218015700943E-9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-9.6427610052387859E-8</v>
      </c>
      <c r="Y29" s="376">
        <f>k.sdM.w3M</f>
        <v>4.4594252600848833E-8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1.6497451674657539E-11</v>
      </c>
      <c r="Y30" s="378">
        <f>-k.sdM-SUM(Y9:Y29,Y31:Y41)</f>
        <v>-5.4263040051802689E-8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3.3993581694431856E-6</v>
      </c>
      <c r="W31" s="376">
        <v>0</v>
      </c>
      <c r="X31" s="376">
        <v>0</v>
      </c>
      <c r="Y31" s="376">
        <v>0</v>
      </c>
      <c r="Z31" s="378">
        <f>-k.sM-SUM(Z9:Z30,Z32:Z41)</f>
        <v>-4.8108689986951184E-8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-1.6686044330382737E-5</v>
      </c>
      <c r="AB32" s="179">
        <f>k.w2A.aA</f>
        <v>5.8182101402276973E-14</v>
      </c>
      <c r="AC32" s="376">
        <v>0</v>
      </c>
      <c r="AD32" s="376">
        <v>0</v>
      </c>
      <c r="AE32" s="179">
        <f>k.sA.aA</f>
        <v>1.3393308083542548E-12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5.7639436414589887E-6</v>
      </c>
      <c r="AB33" s="378">
        <f>-k.w2A-SUM(AB9:AB32,AB34:AB41)</f>
        <v>-2.8815621607873425E-7</v>
      </c>
      <c r="AC33" s="376">
        <f>k.w3A.w2A</f>
        <v>8.9753746616491718E-9</v>
      </c>
      <c r="AD33" s="179">
        <v>0</v>
      </c>
      <c r="AE33" s="179">
        <f>k.sA.w2A</f>
        <v>1.6513345540686168E-9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-2.9847574474207068E-8</v>
      </c>
      <c r="AD34" s="376">
        <f>k.sdA.w3A</f>
        <v>4.4595122549031241E-8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1.6497451674657539E-11</v>
      </c>
      <c r="AD35" s="378">
        <f>-k.sdA-SUM(AD9:AD34,AD36:AD41)</f>
        <v>-4.6700879209193474E-8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2.7554103149897485E-6</v>
      </c>
      <c r="AB36" s="376">
        <v>0</v>
      </c>
      <c r="AC36" s="376">
        <v>0</v>
      </c>
      <c r="AD36" s="376">
        <v>0</v>
      </c>
      <c r="AE36" s="378">
        <f>-k.sA-SUM(AE9:AE35,AE37:AE41)</f>
        <v>-1.1121190784102833E-8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-1.910216431731474E-5</v>
      </c>
      <c r="AG37" s="179">
        <f>k.w2T.aT</f>
        <v>1.108387121217946E-11</v>
      </c>
      <c r="AH37" s="376">
        <v>0</v>
      </c>
      <c r="AI37" s="376">
        <v>0</v>
      </c>
      <c r="AJ37" s="380">
        <f>k.sT.aT</f>
        <v>2.5498188135488605E-10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6.6295470258236121E-6</v>
      </c>
      <c r="AG38" s="378">
        <f>-k.w2T-SUM(AG9:AG37,AG39:AG41)</f>
        <v>-4.5783383458482299E-7</v>
      </c>
      <c r="AH38" s="376">
        <f>k.w3T.w2T</f>
        <v>7.5748144375595357E-9</v>
      </c>
      <c r="AI38" s="179">
        <v>0</v>
      </c>
      <c r="AJ38" s="380">
        <f>k.sT.w2T</f>
        <v>8.4853959516793628E-9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-2.2136290678698331E-7</v>
      </c>
      <c r="AI39" s="376">
        <f>k.sdT.w3T</f>
        <v>4.4595122549031241E-8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1.6497451674657539E-11</v>
      </c>
      <c r="AI40" s="378">
        <f>-k.sdT-SUM(AI9:AI39,AI41)</f>
        <v>-6.8397236535163485E-8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2.0156444088287383E-6</v>
      </c>
      <c r="AG41" s="373">
        <v>0</v>
      </c>
      <c r="AH41" s="373">
        <v>0</v>
      </c>
      <c r="AI41" s="373">
        <v>0</v>
      </c>
      <c r="AJ41" s="381">
        <f>-k.sT-SUM(AJ9:AJ40)</f>
        <v>-1.1579738907737564E-7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64263080.037313603</v>
      </c>
      <c r="D45" s="370">
        <f t="array" ref="D45:AJ45">TRANSPOSE(MMULT(MINVERSE(D9:AJ41),-TRANSPOSE(D5:AJ5)))</f>
        <v>56181.082210935958</v>
      </c>
      <c r="E45" s="370">
        <v>97594.390906560278</v>
      </c>
      <c r="F45" s="370">
        <v>9210831.7686794791</v>
      </c>
      <c r="G45" s="370">
        <v>460710.01133207913</v>
      </c>
      <c r="H45" s="370">
        <v>3323310.8864216032</v>
      </c>
      <c r="I45" s="370">
        <v>42020.541831378992</v>
      </c>
      <c r="J45" s="370">
        <v>2130527.2809521267</v>
      </c>
      <c r="K45" s="370">
        <v>36028859.338183984</v>
      </c>
      <c r="L45" s="370">
        <v>789028.18583163817</v>
      </c>
      <c r="M45" s="370">
        <v>27915.070501058173</v>
      </c>
      <c r="N45" s="370">
        <v>8976.3391143765675</v>
      </c>
      <c r="O45" s="370">
        <v>53882.835163396252</v>
      </c>
      <c r="P45" s="370">
        <v>6544313.3448195131</v>
      </c>
      <c r="Q45" s="370">
        <v>19441.177212538329</v>
      </c>
      <c r="R45" s="370">
        <v>29844.759816324455</v>
      </c>
      <c r="S45" s="370">
        <v>514571.14811655786</v>
      </c>
      <c r="T45" s="370">
        <v>1207075.9305052871</v>
      </c>
      <c r="U45" s="370">
        <v>190568.51140435025</v>
      </c>
      <c r="V45" s="370">
        <v>2101.8370005474576</v>
      </c>
      <c r="W45" s="370">
        <v>607735.85484359728</v>
      </c>
      <c r="X45" s="370">
        <v>1591339.7819797068</v>
      </c>
      <c r="Y45" s="370">
        <v>483.81091671435229</v>
      </c>
      <c r="Z45" s="370">
        <v>148515.72097654114</v>
      </c>
      <c r="AA45" s="370">
        <v>47.782298367690125</v>
      </c>
      <c r="AB45" s="370">
        <v>114888.93471527621</v>
      </c>
      <c r="AC45" s="370">
        <v>1036984.5378406076</v>
      </c>
      <c r="AD45" s="370">
        <v>366.32291704317043</v>
      </c>
      <c r="AE45" s="370">
        <v>11838.645730675897</v>
      </c>
      <c r="AF45" s="370">
        <v>72.308851041648111</v>
      </c>
      <c r="AG45" s="370">
        <v>1244.8575281436001</v>
      </c>
      <c r="AH45" s="370">
        <v>10545.840321046149</v>
      </c>
      <c r="AI45" s="370">
        <v>2.5436625787603235</v>
      </c>
      <c r="AJ45" s="371">
        <v>1258.6547285063475</v>
      </c>
    </row>
    <row r="46" spans="1:36" ht="12.75" customHeight="1" x14ac:dyDescent="0.2">
      <c r="B46" s="255" t="s">
        <v>2410</v>
      </c>
      <c r="C46" s="531">
        <f>SUM(D46:AJ46)</f>
        <v>67519249.114521027</v>
      </c>
      <c r="D46" s="383">
        <f>D45</f>
        <v>56181.082210935958</v>
      </c>
      <c r="E46" s="383"/>
      <c r="F46" s="383">
        <f t="shared" ref="F46:AJ46" si="0">F45</f>
        <v>9210831.7686794791</v>
      </c>
      <c r="G46" s="383">
        <f t="shared" si="0"/>
        <v>460710.01133207913</v>
      </c>
      <c r="H46" s="383">
        <f t="shared" si="0"/>
        <v>3323310.8864216032</v>
      </c>
      <c r="I46" s="383">
        <f t="shared" si="0"/>
        <v>42020.541831378992</v>
      </c>
      <c r="J46" s="383">
        <f t="shared" si="0"/>
        <v>2130527.2809521267</v>
      </c>
      <c r="K46" s="383">
        <f t="shared" si="0"/>
        <v>36028859.338183984</v>
      </c>
      <c r="L46" s="383">
        <f t="shared" si="0"/>
        <v>789028.18583163817</v>
      </c>
      <c r="M46" s="383">
        <f t="shared" si="0"/>
        <v>27915.070501058173</v>
      </c>
      <c r="N46" s="383"/>
      <c r="O46" s="383">
        <f t="shared" si="0"/>
        <v>53882.835163396252</v>
      </c>
      <c r="P46" s="383">
        <f t="shared" si="0"/>
        <v>6544313.3448195131</v>
      </c>
      <c r="Q46" s="383">
        <f t="shared" si="0"/>
        <v>19441.177212538329</v>
      </c>
      <c r="R46" s="383">
        <f t="shared" si="0"/>
        <v>29844.759816324455</v>
      </c>
      <c r="S46" s="383">
        <f t="shared" si="0"/>
        <v>514571.14811655786</v>
      </c>
      <c r="T46" s="383">
        <f t="shared" si="0"/>
        <v>1207075.9305052871</v>
      </c>
      <c r="U46" s="383">
        <f t="shared" si="0"/>
        <v>190568.51140435025</v>
      </c>
      <c r="V46" s="383">
        <f t="shared" si="0"/>
        <v>2101.8370005474576</v>
      </c>
      <c r="W46" s="383">
        <f>SUM(W45:X45)</f>
        <v>2199075.636823304</v>
      </c>
      <c r="X46" s="383">
        <f>SUM(W45:X45)</f>
        <v>2199075.636823304</v>
      </c>
      <c r="Y46" s="383">
        <f t="shared" si="0"/>
        <v>483.81091671435229</v>
      </c>
      <c r="Z46" s="383">
        <f t="shared" si="0"/>
        <v>148515.72097654114</v>
      </c>
      <c r="AA46" s="383">
        <f t="shared" si="0"/>
        <v>47.782298367690125</v>
      </c>
      <c r="AB46" s="383">
        <f>SUM(AB45:AC45)</f>
        <v>1151873.4725558837</v>
      </c>
      <c r="AC46" s="383">
        <f>SUM(AB45:AC45)</f>
        <v>1151873.4725558837</v>
      </c>
      <c r="AD46" s="383">
        <f t="shared" si="0"/>
        <v>366.32291704317043</v>
      </c>
      <c r="AE46" s="383">
        <f t="shared" si="0"/>
        <v>11838.645730675897</v>
      </c>
      <c r="AF46" s="383">
        <f t="shared" si="0"/>
        <v>72.308851041648111</v>
      </c>
      <c r="AG46" s="383">
        <f>SUM(AG45:AH45)</f>
        <v>11790.69784918975</v>
      </c>
      <c r="AH46" s="383">
        <f>SUM(AG45:AH45)</f>
        <v>11790.69784918975</v>
      </c>
      <c r="AI46" s="383">
        <f t="shared" si="0"/>
        <v>2.5436625787603235</v>
      </c>
      <c r="AJ46" s="384">
        <f t="shared" si="0"/>
        <v>1258.6547285063475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-1.0779106319287879</v>
      </c>
      <c r="E48" s="515" t="e">
        <f t="shared" ref="E48:AJ48" si="1">IF(E49&gt;0.0001,LOG(E46/E47),"")</f>
        <v>#DIV/0!</v>
      </c>
      <c r="F48" s="515">
        <f t="shared" si="1"/>
        <v>0.8878719921735837</v>
      </c>
      <c r="G48" s="515">
        <f t="shared" si="1"/>
        <v>1.0537663795055741</v>
      </c>
      <c r="H48" s="515">
        <f t="shared" si="1"/>
        <v>1.3123505515350193</v>
      </c>
      <c r="I48" s="515">
        <f t="shared" si="1"/>
        <v>1.4643761332287446</v>
      </c>
      <c r="J48" s="515">
        <f t="shared" si="1"/>
        <v>2.9723775410934605</v>
      </c>
      <c r="K48" s="515">
        <f t="shared" si="1"/>
        <v>0.24245175162028618</v>
      </c>
      <c r="L48" s="515">
        <f t="shared" si="1"/>
        <v>2.9723467230770071</v>
      </c>
      <c r="M48" s="515">
        <f t="shared" si="1"/>
        <v>-2.1217052632144648</v>
      </c>
      <c r="N48" s="515" t="e">
        <f t="shared" si="1"/>
        <v>#DIV/0!</v>
      </c>
      <c r="O48" s="515">
        <f t="shared" si="1"/>
        <v>1.2131667243552957</v>
      </c>
      <c r="P48" s="515">
        <f t="shared" si="1"/>
        <v>0.58575598189949429</v>
      </c>
      <c r="Q48" s="515">
        <f t="shared" si="1"/>
        <v>1.6379960136212197</v>
      </c>
      <c r="R48" s="515">
        <f t="shared" si="1"/>
        <v>0.99652243469381763</v>
      </c>
      <c r="S48" s="515">
        <f t="shared" si="1"/>
        <v>1.9007941229118448</v>
      </c>
      <c r="T48" s="515">
        <f t="shared" si="1"/>
        <v>1.4841861571151438</v>
      </c>
      <c r="U48" s="515">
        <f t="shared" si="1"/>
        <v>1.9007635968676277</v>
      </c>
      <c r="V48" s="515" t="str">
        <f t="shared" si="1"/>
        <v/>
      </c>
      <c r="W48" s="515">
        <f t="shared" si="1"/>
        <v>-0.30746377375110079</v>
      </c>
      <c r="X48" s="515">
        <f t="shared" si="1"/>
        <v>-0.30746377375110079</v>
      </c>
      <c r="Y48" s="515" t="str">
        <f t="shared" si="1"/>
        <v/>
      </c>
      <c r="Z48" s="515">
        <f t="shared" si="1"/>
        <v>0.56434349704021647</v>
      </c>
      <c r="AA48" s="515" t="str">
        <f t="shared" si="1"/>
        <v/>
      </c>
      <c r="AB48" s="515">
        <f t="shared" si="1"/>
        <v>-1.2444438075020781</v>
      </c>
      <c r="AC48" s="515">
        <f t="shared" si="1"/>
        <v>-1.2444438075020781</v>
      </c>
      <c r="AD48" s="515" t="str">
        <f t="shared" si="1"/>
        <v/>
      </c>
      <c r="AE48" s="515">
        <f t="shared" si="1"/>
        <v>-0.59223757104552599</v>
      </c>
      <c r="AF48" s="515" t="str">
        <f t="shared" si="1"/>
        <v/>
      </c>
      <c r="AG48" s="515" t="str">
        <f t="shared" si="1"/>
        <v/>
      </c>
      <c r="AH48" s="515">
        <f t="shared" si="1"/>
        <v>-1.9699376288470911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0.99999999999999956</v>
      </c>
      <c r="D49" s="151">
        <f t="shared" ref="D49:AJ49" si="2">D45/SUM($D45:$AJ45)</f>
        <v>8.7423575369115626E-4</v>
      </c>
      <c r="E49" s="151">
        <f t="shared" si="2"/>
        <v>1.5186696754947513E-3</v>
      </c>
      <c r="F49" s="151">
        <f t="shared" si="2"/>
        <v>0.14333007013251337</v>
      </c>
      <c r="G49" s="151">
        <f t="shared" si="2"/>
        <v>7.1691243411391619E-3</v>
      </c>
      <c r="H49" s="151">
        <f t="shared" si="2"/>
        <v>5.1714155071496133E-2</v>
      </c>
      <c r="I49" s="151">
        <f t="shared" si="2"/>
        <v>6.5388309752629754E-4</v>
      </c>
      <c r="J49" s="151">
        <f t="shared" si="2"/>
        <v>3.3153208338521298E-2</v>
      </c>
      <c r="K49" s="151">
        <f t="shared" si="2"/>
        <v>0.5606463200528865</v>
      </c>
      <c r="L49" s="151">
        <f t="shared" si="2"/>
        <v>1.2278094753215972E-2</v>
      </c>
      <c r="M49" s="151">
        <f t="shared" si="2"/>
        <v>4.3438737273173984E-4</v>
      </c>
      <c r="N49" s="151">
        <f t="shared" si="2"/>
        <v>1.3968112186911306E-4</v>
      </c>
      <c r="O49" s="151">
        <f t="shared" si="2"/>
        <v>8.3847265229288447E-4</v>
      </c>
      <c r="P49" s="151">
        <f t="shared" si="2"/>
        <v>0.10183628517368969</v>
      </c>
      <c r="Q49" s="151">
        <f t="shared" si="2"/>
        <v>3.0252482764987358E-4</v>
      </c>
      <c r="R49" s="151">
        <f t="shared" si="2"/>
        <v>4.6441533457461804E-4</v>
      </c>
      <c r="S49" s="151">
        <f t="shared" si="2"/>
        <v>8.007259344210987E-3</v>
      </c>
      <c r="T49" s="151">
        <f t="shared" si="2"/>
        <v>1.8783350094710879E-2</v>
      </c>
      <c r="U49" s="151">
        <f t="shared" si="2"/>
        <v>2.9654431641573807E-3</v>
      </c>
      <c r="V49" s="151">
        <f t="shared" si="2"/>
        <v>3.2706757897801513E-5</v>
      </c>
      <c r="W49" s="151">
        <f t="shared" si="2"/>
        <v>9.45699855174577E-3</v>
      </c>
      <c r="X49" s="151">
        <f t="shared" si="2"/>
        <v>2.4762893111499075E-2</v>
      </c>
      <c r="Y49" s="151">
        <f t="shared" si="2"/>
        <v>7.5285983247835797E-6</v>
      </c>
      <c r="Z49" s="151">
        <f t="shared" si="2"/>
        <v>2.311058245112236E-3</v>
      </c>
      <c r="AA49" s="151">
        <f t="shared" si="2"/>
        <v>7.4354198927200336E-7</v>
      </c>
      <c r="AB49" s="151">
        <f t="shared" si="2"/>
        <v>1.7877906668738457E-3</v>
      </c>
      <c r="AC49" s="151">
        <f t="shared" si="2"/>
        <v>1.6136552079957803E-2</v>
      </c>
      <c r="AD49" s="151">
        <f t="shared" si="2"/>
        <v>5.7003635186870806E-6</v>
      </c>
      <c r="AE49" s="151">
        <f t="shared" si="2"/>
        <v>1.8422157362830922E-4</v>
      </c>
      <c r="AF49" s="151">
        <f t="shared" si="2"/>
        <v>1.1252005194843264E-6</v>
      </c>
      <c r="AG49" s="151">
        <f t="shared" si="2"/>
        <v>1.9371270835770526E-5</v>
      </c>
      <c r="AH49" s="151">
        <f t="shared" si="2"/>
        <v>1.6410418415866202E-4</v>
      </c>
      <c r="AI49" s="151">
        <f t="shared" si="2"/>
        <v>3.9582020925286738E-8</v>
      </c>
      <c r="AJ49" s="253">
        <f t="shared" si="2"/>
        <v>1.9585969545429885E-5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2.4472310062698069E-10</v>
      </c>
      <c r="E50" s="179">
        <f t="shared" si="3"/>
        <v>1.7079125153180257E-6</v>
      </c>
      <c r="F50" s="179">
        <f t="shared" si="3"/>
        <v>4.8845625270579418E-4</v>
      </c>
      <c r="G50" s="179">
        <f t="shared" si="3"/>
        <v>4.607100113320786E-5</v>
      </c>
      <c r="H50" s="179">
        <f t="shared" si="3"/>
        <v>1.7623728485387291E-2</v>
      </c>
      <c r="I50" s="179">
        <f t="shared" si="3"/>
        <v>1.4006847277126316E-3</v>
      </c>
      <c r="J50" s="179">
        <f t="shared" si="3"/>
        <v>6.9045297119518496E-4</v>
      </c>
      <c r="K50" s="179">
        <f t="shared" si="3"/>
        <v>1.3135603731236232E-3</v>
      </c>
      <c r="L50" s="179">
        <f t="shared" si="3"/>
        <v>6.9040397762754361E-4</v>
      </c>
      <c r="M50" s="179">
        <f t="shared" si="3"/>
        <v>3.8774970310877067E-12</v>
      </c>
      <c r="N50" s="179">
        <f t="shared" si="3"/>
        <v>1.0300345528626175E-8</v>
      </c>
      <c r="O50" s="179">
        <f t="shared" si="3"/>
        <v>1.8736524760397304E-7</v>
      </c>
      <c r="P50" s="179">
        <f t="shared" si="3"/>
        <v>8.8117301143955464E-9</v>
      </c>
      <c r="Q50" s="179">
        <f t="shared" si="3"/>
        <v>6.7602251646447474E-6</v>
      </c>
      <c r="R50" s="179">
        <f t="shared" si="3"/>
        <v>2.6790075084916967E-7</v>
      </c>
      <c r="S50" s="179">
        <f t="shared" si="3"/>
        <v>1.0934633070355277E-5</v>
      </c>
      <c r="T50" s="179">
        <f t="shared" si="3"/>
        <v>2.8856648863814914E-6</v>
      </c>
      <c r="U50" s="179">
        <f t="shared" si="3"/>
        <v>1.0933864514972015E-5</v>
      </c>
      <c r="V50" s="179">
        <f t="shared" si="3"/>
        <v>2.7095591436761146E-14</v>
      </c>
      <c r="W50" s="179">
        <f t="shared" si="3"/>
        <v>1.5669114607863314E-10</v>
      </c>
      <c r="X50" s="179">
        <f t="shared" si="3"/>
        <v>1.3676383264847476E-11</v>
      </c>
      <c r="Y50" s="179">
        <f t="shared" si="3"/>
        <v>4.1579954197280681E-10</v>
      </c>
      <c r="Z50" s="179">
        <f t="shared" si="3"/>
        <v>7.6582937620152818E-8</v>
      </c>
      <c r="AA50" s="179">
        <f t="shared" si="3"/>
        <v>1.1242893733574148E-15</v>
      </c>
      <c r="AB50" s="179">
        <f t="shared" si="3"/>
        <v>4.5054484202069101E-11</v>
      </c>
      <c r="AC50" s="179">
        <f t="shared" si="3"/>
        <v>1.3555353435824936E-11</v>
      </c>
      <c r="AD50" s="179">
        <f t="shared" si="3"/>
        <v>4.7885348633094174E-10</v>
      </c>
      <c r="AE50" s="179">
        <f t="shared" si="3"/>
        <v>1.3927818506677525E-8</v>
      </c>
      <c r="AF50" s="179">
        <f t="shared" si="3"/>
        <v>5.671282434639068E-16</v>
      </c>
      <c r="AG50" s="179">
        <f t="shared" si="3"/>
        <v>1.3947983508611767E-13</v>
      </c>
      <c r="AH50" s="179">
        <f t="shared" si="3"/>
        <v>3.9386891955354437E-14</v>
      </c>
      <c r="AI50" s="179">
        <f t="shared" si="3"/>
        <v>9.5001403501786122E-13</v>
      </c>
      <c r="AJ50" s="380">
        <f t="shared" si="3"/>
        <v>6.5812011948044301E-10</v>
      </c>
    </row>
    <row r="51" spans="1:36" ht="12.75" customHeight="1" x14ac:dyDescent="0.2">
      <c r="B51" s="141" t="s">
        <v>703</v>
      </c>
      <c r="C51" s="254"/>
      <c r="D51" s="385">
        <f>D50*8.314*TEMP.R</f>
        <v>5.7986893970462451E-7</v>
      </c>
      <c r="E51" s="385">
        <f>E50*Kaw.R*8.314*TEMP.R</f>
        <v>1.9893930058722304E-10</v>
      </c>
      <c r="F51" s="385">
        <f>F50*Kaw.R*8.314*TEMP.R</f>
        <v>5.6895856438321269E-8</v>
      </c>
      <c r="G51" s="385">
        <f>G50*Kaw.R*8.314*TEMP.R</f>
        <v>5.3663947424654128E-9</v>
      </c>
      <c r="H51" s="385">
        <f>H50*Kaw.R/Ksdw1.R*8.314*TEMP.R</f>
        <v>7.7730715394813539E-8</v>
      </c>
      <c r="I51" s="385">
        <f>I50*Kaw.R/Ksdw2.R*8.314*TEMP.R</f>
        <v>6.219850555194154E-9</v>
      </c>
      <c r="J51" s="385">
        <f>J50*Kaw.R/Ks1w.R*8.314*TEMP.R</f>
        <v>2.5981016698727181E-9</v>
      </c>
      <c r="K51" s="385">
        <f>K50*Kaw.R/Ks2w.R*8.314*TEMP.R</f>
        <v>4.9465854239505834E-9</v>
      </c>
      <c r="L51" s="385">
        <f>L50*Kaw.R/Ks3w.R*8.314*TEMP.R</f>
        <v>2.5999126665558309E-9</v>
      </c>
      <c r="M51" s="385">
        <f>M50*8.314*TEMP.C</f>
        <v>9.1876904401920093E-9</v>
      </c>
      <c r="N51" s="385">
        <f>N50*Kaw.C*8.314*TEMP.C</f>
        <v>1.1997942030947976E-12</v>
      </c>
      <c r="O51" s="385">
        <f>O50*Kaw.C*8.314*TEMP.C</f>
        <v>2.1824485141000047E-11</v>
      </c>
      <c r="P51" s="385">
        <f>P50*Kaw.C*8.314*TEMP.C</f>
        <v>1.0263988408064332E-12</v>
      </c>
      <c r="Q51" s="385">
        <f>Q50*Kaw.C/Ksdw1.C*8.314*TEMP.C</f>
        <v>2.9816456756784269E-11</v>
      </c>
      <c r="R51" s="385">
        <f>R50*Kaw.C/Ksdw2.C*8.314*TEMP.C</f>
        <v>1.1896343273673519E-12</v>
      </c>
      <c r="S51" s="385">
        <f>S50*Kaw.C/Ks1w.C*8.314*TEMP.C</f>
        <v>4.1145870355744237E-11</v>
      </c>
      <c r="T51" s="385">
        <f>T50*Kaw.C/Ks2w.C*8.314*TEMP.C</f>
        <v>1.0866792389174269E-11</v>
      </c>
      <c r="U51" s="385">
        <f>U50*Kaw.C/Ks3w.C*8.314*TEMP.C</f>
        <v>4.1174578606232785E-11</v>
      </c>
      <c r="V51" s="385">
        <f>V50*8.314*TEMP.M</f>
        <v>6.4202732953491165E-11</v>
      </c>
      <c r="W51" s="385">
        <f>W50*Kaw.M*8.314*TEMP.M</f>
        <v>1.8251536146913952E-14</v>
      </c>
      <c r="X51" s="385">
        <f>X50*Kaw.M*8.314*TEMP.M</f>
        <v>1.5930383417589348E-15</v>
      </c>
      <c r="Y51" s="385">
        <f>Y50*Kaw.M/Ksdw.M*8.314*TEMP.M</f>
        <v>1.8463905265908148E-15</v>
      </c>
      <c r="Z51" s="372">
        <f>Z50*Kaw.M/Kslw.M*8.314*TEMP.M</f>
        <v>2.8817351277416709E-13</v>
      </c>
      <c r="AA51" s="385">
        <f>AA50*8.314*TEMP.A</f>
        <v>2.4583509065746028E-12</v>
      </c>
      <c r="AB51" s="385">
        <f>AB50*Kaw.A*8.314*TEMP.A</f>
        <v>1.5339573525852034E-16</v>
      </c>
      <c r="AC51" s="385">
        <f>AC50*Kaw.A*8.314*TEMP.A</f>
        <v>4.6151530614614915E-17</v>
      </c>
      <c r="AD51" s="385">
        <f>AD50*Kaw.A/Ksdw.A*8.314*TEMP.A</f>
        <v>6.2153058940674387E-17</v>
      </c>
      <c r="AE51" s="372">
        <f>AE50*Kaw.A/Kslw.A*8.314*TEMP.A</f>
        <v>1.5318824325108456E-15</v>
      </c>
      <c r="AF51" s="385">
        <f>AF50*8.314*TEMP.T</f>
        <v>1.4051010564153587E-12</v>
      </c>
      <c r="AG51" s="385">
        <f>AG50*Kaw.T*8.314*TEMP.T</f>
        <v>1.025302155384293E-16</v>
      </c>
      <c r="AH51" s="385">
        <f>AH50*Kaw.T*8.314*TEMP.T</f>
        <v>2.8952905766471272E-17</v>
      </c>
      <c r="AI51" s="385">
        <f>AI50*Kaw.T/Ksdw.T*8.314*TEMP.T</f>
        <v>2.6622881393534626E-17</v>
      </c>
      <c r="AJ51" s="386">
        <f>AJ50*Kaw.T/Kslw.T*8.314*TEMP.T</f>
        <v>1.5628334057652797E-14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-0.90601371021296007</v>
      </c>
      <c r="E55" s="370">
        <f t="shared" ref="E55:AJ55" si="4">E9*E$45</f>
        <v>1.8479248360979592E-7</v>
      </c>
      <c r="F55" s="370">
        <f t="shared" si="4"/>
        <v>5.8048918881831158E-4</v>
      </c>
      <c r="G55" s="370">
        <f t="shared" si="4"/>
        <v>8.4623521575389557E-6</v>
      </c>
      <c r="H55" s="389">
        <f t="shared" si="4"/>
        <v>0</v>
      </c>
      <c r="I55" s="389">
        <f t="shared" si="4"/>
        <v>0</v>
      </c>
      <c r="J55" s="370">
        <f t="shared" si="4"/>
        <v>9.0058248483149446E-5</v>
      </c>
      <c r="K55" s="370">
        <f t="shared" si="4"/>
        <v>6.9124110345657728E-4</v>
      </c>
      <c r="L55" s="370">
        <f t="shared" si="4"/>
        <v>3.3266598759479738E-5</v>
      </c>
      <c r="M55" s="370">
        <f t="shared" si="4"/>
        <v>8.3854059387774207E-3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1.3337797083309898E-3</v>
      </c>
      <c r="E56" s="378">
        <f>SUM(D56,F56:AJ56)-SUM(E55,E57:E87)</f>
        <v>8.4767521504304898E-3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8.1318995292993957E-4</v>
      </c>
      <c r="K56" s="376">
        <f t="shared" si="6"/>
        <v>6.2625362575008644E-3</v>
      </c>
      <c r="L56" s="376">
        <f t="shared" si="6"/>
        <v>3.0139018043515739E-4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1.4671576791640889E-2</v>
      </c>
      <c r="E57" s="179">
        <f t="shared" ref="E57:E87" si="7">E11*E$45</f>
        <v>2.3395915628284997E-4</v>
      </c>
      <c r="F57" s="378">
        <f>SUM(D57:E57,G57:AJ57)-SUM(F55:F56,F58:F87)</f>
        <v>-0.61538532424390346</v>
      </c>
      <c r="G57" s="376">
        <f t="shared" ref="G57:AJ57" si="8">G11*G$45</f>
        <v>0</v>
      </c>
      <c r="H57" s="179">
        <f t="shared" si="8"/>
        <v>0.2019104249947391</v>
      </c>
      <c r="I57" s="376">
        <f t="shared" si="8"/>
        <v>0</v>
      </c>
      <c r="J57" s="179">
        <f t="shared" si="8"/>
        <v>8.9450894822293361E-3</v>
      </c>
      <c r="K57" s="179">
        <f t="shared" si="8"/>
        <v>6.8887898832509509E-2</v>
      </c>
      <c r="L57" s="179">
        <f t="shared" si="8"/>
        <v>3.3152919847867319E-3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2.3341290778859714E-3</v>
      </c>
      <c r="E58" s="179">
        <f t="shared" si="7"/>
        <v>0</v>
      </c>
      <c r="F58" s="179">
        <f t="shared" ref="F58:F87" si="9">F12*F$45</f>
        <v>0.66911397240303394</v>
      </c>
      <c r="G58" s="378">
        <f>SUM(D58:F58,H58:AJ58)-SUM(G55:G57,G59:G87)</f>
        <v>3.9998034690438167E-2</v>
      </c>
      <c r="H58" s="376">
        <f t="shared" ref="H58:N58" si="10">H12*H$45</f>
        <v>0</v>
      </c>
      <c r="I58" s="179">
        <f t="shared" si="10"/>
        <v>1.8355809459855087E-3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1.0863708954759038E-4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0.24365510389423975</v>
      </c>
      <c r="G59" s="376">
        <f t="shared" ref="G59:G87" si="12">G13*G$45</f>
        <v>0</v>
      </c>
      <c r="H59" s="378">
        <f>SUM(D59:G59,I59:AJ59)-SUM(H55:H58,H60:H87)</f>
        <v>4.1744678899500648E-2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2.2801623443945707E-3</v>
      </c>
      <c r="H60" s="376">
        <f t="shared" ref="H60:H87" si="15">H14*H$45</f>
        <v>0</v>
      </c>
      <c r="I60" s="378">
        <f>SUM(D60:H60,J60:AJ60)-SUM(I55:I59,I61:I87)</f>
        <v>4.4458139840906192E-4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0.10249687646806789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9.2648538784425472E-2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0.22777083659570635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0.15192916040223942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3.7961806099284401E-2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3.431185733530303E-2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0.52923381369497968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0.25251921148571399</v>
      </c>
      <c r="N64" s="179">
        <f>N18*N$45</f>
        <v>1.699646858042843E-8</v>
      </c>
      <c r="O64" s="179">
        <f>O18*O$45</f>
        <v>3.3958283096201796E-6</v>
      </c>
      <c r="P64" s="179">
        <f t="shared" ref="P64:AJ64" si="25">P18*P$45</f>
        <v>6.0103191585765602E-6</v>
      </c>
      <c r="Q64" s="376">
        <f t="shared" si="25"/>
        <v>0</v>
      </c>
      <c r="R64" s="376">
        <f t="shared" si="25"/>
        <v>0</v>
      </c>
      <c r="S64" s="179">
        <f t="shared" si="25"/>
        <v>2.1751130217225209E-5</v>
      </c>
      <c r="T64" s="179">
        <f t="shared" si="25"/>
        <v>2.3140904151795607E-5</v>
      </c>
      <c r="U64" s="179">
        <f t="shared" si="25"/>
        <v>8.0284871308060247E-6</v>
      </c>
      <c r="V64" s="179">
        <f t="shared" si="25"/>
        <v>2.6954215141608242E-4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3.221825273521059E-4</v>
      </c>
      <c r="N65" s="378">
        <f>SUM(D65:M65,O65:AJ65)-SUM(N55:N64,N66:N87)</f>
        <v>7.7965753138042383E-4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1.964040035802814E-4</v>
      </c>
      <c r="T65" s="376">
        <f t="shared" si="27"/>
        <v>2.0981393580602267E-4</v>
      </c>
      <c r="U65" s="376">
        <f t="shared" si="27"/>
        <v>7.2792682275195668E-5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3.5440078008731643E-3</v>
      </c>
      <c r="N66" s="179">
        <f t="shared" ref="N66:N87" si="28">N20*N$45</f>
        <v>2.1518621164601363E-5</v>
      </c>
      <c r="O66" s="378">
        <f>SUM(D66:N66,P66:AJ66)-SUM(O55:O65,O67:O87)</f>
        <v>4.6731762618952618E-3</v>
      </c>
      <c r="P66" s="376">
        <f t="shared" ref="P66:AJ66" si="29">P20*P$45</f>
        <v>0</v>
      </c>
      <c r="Q66" s="179">
        <f t="shared" si="29"/>
        <v>1.1815753369098857E-3</v>
      </c>
      <c r="R66" s="376">
        <f t="shared" si="29"/>
        <v>0</v>
      </c>
      <c r="S66" s="179">
        <f t="shared" si="29"/>
        <v>2.1604440393830954E-3</v>
      </c>
      <c r="T66" s="179">
        <f t="shared" si="29"/>
        <v>2.3079532938662492E-3</v>
      </c>
      <c r="U66" s="179">
        <f t="shared" si="29"/>
        <v>8.0071950502715223E-4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0.63110566012946268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0.13728637216792319</v>
      </c>
      <c r="N67" s="179">
        <f t="shared" si="28"/>
        <v>0</v>
      </c>
      <c r="O67" s="179">
        <f t="shared" ref="O67:O87" si="30">O21*O$45</f>
        <v>3.9142781874613305E-3</v>
      </c>
      <c r="P67" s="378">
        <f>SUM(D67:O67,Q67:AJ67)-SUM(P55:P66,P68:P87)</f>
        <v>0.56816580007529616</v>
      </c>
      <c r="Q67" s="376">
        <f t="shared" ref="Q67:AJ67" si="31">Q21*Q$45</f>
        <v>0</v>
      </c>
      <c r="R67" s="179">
        <f t="shared" si="31"/>
        <v>1.3037355988981879E-3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3.687975761032837E-3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1.4253683195579346E-3</v>
      </c>
      <c r="P68" s="376">
        <f t="shared" ref="P68:P87" si="32">P22*P$45</f>
        <v>0</v>
      </c>
      <c r="Q68" s="378">
        <f>SUM(D68:P68,R68:AJ68)-SUM(Q55:Q67,Q69:Q87)</f>
        <v>2.4379298264804892E-4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1.6194673972496452E-3</v>
      </c>
      <c r="Q69" s="376">
        <f t="shared" ref="Q69:Q87" si="34">Q23*Q$45</f>
        <v>0</v>
      </c>
      <c r="R69" s="378">
        <f>SUM(D69:Q69,S69:AJ69)-SUM(R55:R68,R70:R87)</f>
        <v>3.1573179835145729E-4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2.4755343840969026E-2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2.2376744667788426E-2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5.5011875202153393E-2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5.2470967068329329E-2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9.168645867025562E-3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8.2871051925924085E-3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3.8572654681044448E-2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1.901317863516136E-2</v>
      </c>
      <c r="W73" s="179">
        <f t="shared" ref="W73:AJ73" si="43">W27*W$45</f>
        <v>1.1162932638645267E-6</v>
      </c>
      <c r="X73" s="376">
        <f t="shared" si="43"/>
        <v>0</v>
      </c>
      <c r="Y73" s="376">
        <f t="shared" si="43"/>
        <v>0</v>
      </c>
      <c r="Z73" s="179">
        <f t="shared" si="43"/>
        <v>6.2778194970505858E-6</v>
      </c>
      <c r="AA73" s="179">
        <f t="shared" si="43"/>
        <v>3.3081684956439058E-5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2.8903565441128609E-5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0.20739810696352629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1.0036220648345653E-2</v>
      </c>
      <c r="W74" s="378">
        <f>SUM(D74:V74,X74:AJ74)-SUM(W55:W73,W75:W87)</f>
        <v>5.2762560410557352E-2</v>
      </c>
      <c r="X74" s="376">
        <f t="shared" ref="X74:AJ74" si="45">X28*X$45</f>
        <v>1.3214054164668948E-2</v>
      </c>
      <c r="Y74" s="376">
        <f t="shared" si="45"/>
        <v>0</v>
      </c>
      <c r="Z74" s="179">
        <f t="shared" si="45"/>
        <v>6.8023438083156815E-4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2.0921975262917653E-5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0.1513942137559863</v>
      </c>
      <c r="X75" s="378">
        <f>SUM(D75:W75,Y75:AJ75)-SUM(X55:X74,X76:X87)</f>
        <v>0.1381573272520438</v>
      </c>
      <c r="Y75" s="376">
        <f t="shared" ref="Y75:AJ75" si="47">Y29*Y$45</f>
        <v>2.1575186231008061E-5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2.0333030153737402E-3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2.6253051151170275E-5</v>
      </c>
      <c r="Y76" s="378">
        <f>SUM(D76:X76,Z76:AJ76)-SUM(Y55:Y75,Y77:Y87)</f>
        <v>4.677864920162214E-6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7.1448967786489617E-3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6.4583845783203432E-3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7.9727500842824612E-4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3.5714155116741797E-4</v>
      </c>
      <c r="AB78" s="179">
        <f t="shared" ref="AB78:AJ78" si="53">AB32*AB$45</f>
        <v>6.6844796496037792E-9</v>
      </c>
      <c r="AC78" s="376">
        <f t="shared" si="53"/>
        <v>0</v>
      </c>
      <c r="AD78" s="376">
        <f t="shared" si="53"/>
        <v>0</v>
      </c>
      <c r="AE78" s="179">
        <f t="shared" si="53"/>
        <v>1.5855862956285797E-8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2.3503671911794973E-2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2.7541447485074372E-4</v>
      </c>
      <c r="AB79" s="378">
        <f>SUM(D79:AA79,AC79:AJ79)-SUM(AB55:AB78,AB80:AB87)</f>
        <v>2.1708170059703998E-3</v>
      </c>
      <c r="AC79" s="376">
        <f t="shared" ref="AC79:AJ79" si="55">AC33*AC$45</f>
        <v>9.3073247454565668E-3</v>
      </c>
      <c r="AD79" s="376">
        <f t="shared" si="55"/>
        <v>0</v>
      </c>
      <c r="AE79" s="179">
        <f t="shared" si="55"/>
        <v>1.9549564768442017E-5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3.0935137006420674E-2</v>
      </c>
      <c r="AC80" s="378">
        <f>SUM(D80:AB80,AD80:AJ80)-SUM(AC55:AC79,AC81:AC87)</f>
        <v>1.9593737858668032E-2</v>
      </c>
      <c r="AD80" s="376">
        <f t="shared" ref="AD80:AJ80" si="57">AD34*AD$45</f>
        <v>1.6336215378058789E-5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1.7107602300392504E-5</v>
      </c>
      <c r="AD81" s="378">
        <f>SUM(D81:AC81,AE81:AJ81)-SUM(AD55:AD80,AD82:AD87)</f>
        <v>7.713869223337146E-7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1.3165983779625119E-4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1.1209441716485289E-4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1.3809208222026268E-3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7.2722812907785941E-4</v>
      </c>
      <c r="AG83" s="179">
        <f>AG37*AG$45</f>
        <v>1.3797840519455731E-8</v>
      </c>
      <c r="AH83" s="376">
        <f>AH37*AH$45</f>
        <v>0</v>
      </c>
      <c r="AI83" s="376">
        <f>AI37*AI$45</f>
        <v>0</v>
      </c>
      <c r="AJ83" s="380">
        <f>AJ37*AJ$45</f>
        <v>3.2093415065077184E-7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4.7937492836388085E-4</v>
      </c>
      <c r="AG84" s="378">
        <f>SUM(D84:AF84,AH84:AJ84)-SUM(AG55:AG83,AG85:AG87)</f>
        <v>2.6611517921172693E-4</v>
      </c>
      <c r="AH84" s="376">
        <f>AH38*AH$45</f>
        <v>7.9882783520057854E-5</v>
      </c>
      <c r="AI84" s="179">
        <f>AI38*AI$45</f>
        <v>0</v>
      </c>
      <c r="AJ84" s="380">
        <f>AJ38*AJ$45</f>
        <v>1.0680183737829848E-5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2.0514574897271213E-3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2.8288694330660453E-4</v>
      </c>
      <c r="AH85" s="378">
        <f>SUM(D85:AG85,AI85:AJ85)-SUM(AH55:AH84,AH86:AH87)</f>
        <v>2.2544011049670265E-3</v>
      </c>
      <c r="AI85" s="376">
        <f>AI39*AI$45</f>
        <v>1.1343494442320146E-7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1.7397949106511379E-7</v>
      </c>
      <c r="AI86" s="378">
        <f>SUM(D86:AH86,AJ86)-SUM(AI55:AI85,AI87)</f>
        <v>6.0544546641912323E-8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1.457489313109281E-4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1.3474781342244748E-4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4.2426802226069826</v>
      </c>
      <c r="D91" s="179">
        <f t="array" ref="D91:AJ91">D5:AJ5</f>
        <v>1.4142267408689941</v>
      </c>
      <c r="E91" s="179">
        <v>0</v>
      </c>
      <c r="F91" s="179">
        <v>1.4142267408689941</v>
      </c>
      <c r="G91" s="179">
        <v>0</v>
      </c>
      <c r="H91" s="179">
        <v>0</v>
      </c>
      <c r="I91" s="179">
        <v>0</v>
      </c>
      <c r="J91" s="179">
        <v>0</v>
      </c>
      <c r="K91" s="179">
        <v>1.4142267408689941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3.5137300713126343</v>
      </c>
      <c r="D92" s="179">
        <f>SUM($D$55:$AJ$55)</f>
        <v>-0.89622460199002396</v>
      </c>
      <c r="E92" s="179">
        <f>SUM($D$56:$AJ$56)</f>
        <v>1.718764824962744E-2</v>
      </c>
      <c r="F92" s="179">
        <f>SUM($D$57:$AJ$57)</f>
        <v>-0.31742108300171501</v>
      </c>
      <c r="G92" s="179">
        <f>SUM($D$58:$AJ$58)</f>
        <v>0.71339035420689112</v>
      </c>
      <c r="H92" s="179">
        <f>SUM($D$59:$AJ$59)</f>
        <v>0.2853997827937404</v>
      </c>
      <c r="I92" s="179">
        <f>SUM($D$60:$AJ$60)</f>
        <v>2.7247437428036328E-3</v>
      </c>
      <c r="J92" s="179">
        <f>SUM($D$61:$AJ$61)</f>
        <v>0.19514541525249335</v>
      </c>
      <c r="K92" s="179">
        <f>SUM($D$62:$AJ$62)</f>
        <v>0.37969999699794577</v>
      </c>
      <c r="L92" s="179">
        <f>SUM($D$63:$AJ$63)</f>
        <v>7.2273663434587437E-2</v>
      </c>
      <c r="M92" s="179">
        <f>SUM($D$64:$AJ$64)</f>
        <v>0.78208491099754629</v>
      </c>
      <c r="N92" s="179">
        <f>SUM($D$65:$AJ$65)</f>
        <v>1.5808506803940293E-3</v>
      </c>
      <c r="O92" s="179">
        <f>SUM($D$66:$AJ$66)</f>
        <v>1.4689394859119409E-2</v>
      </c>
      <c r="P92" s="179">
        <f>SUM($D$67:$AJ$67)</f>
        <v>1.3454638219200745</v>
      </c>
      <c r="Q92" s="179">
        <f>SUM($D$68:$AJ$68)</f>
        <v>1.6691613022059835E-3</v>
      </c>
      <c r="R92" s="179">
        <f>SUM($D$69:$AJ$69)</f>
        <v>1.9351991956011024E-3</v>
      </c>
      <c r="S92" s="179">
        <f>SUM($D$70:$AJ$70)</f>
        <v>4.7132088508757455E-2</v>
      </c>
      <c r="T92" s="179">
        <f>SUM($D$71:$AJ$71)</f>
        <v>0.10748284227048271</v>
      </c>
      <c r="U92" s="179">
        <f>SUM($D$72:$AJ$72)</f>
        <v>1.7455751059617969E-2</v>
      </c>
      <c r="V92" s="179">
        <f>SUM($D$73:$AJ$73)</f>
        <v>5.7655212679364291E-2</v>
      </c>
      <c r="W92" s="179">
        <f>SUM($D$74:$AJ$74)</f>
        <v>0.28411209854319269</v>
      </c>
      <c r="X92" s="179">
        <f>SUM($D$75:$AJ$75)</f>
        <v>0.29160641920963487</v>
      </c>
      <c r="Y92" s="179">
        <f>SUM($D$76:$AJ$76)</f>
        <v>3.0930916071332489E-5</v>
      </c>
      <c r="Z92" s="179">
        <f>SUM($D$77:$AJ$77)</f>
        <v>1.3603281356969305E-2</v>
      </c>
      <c r="AA92" s="179">
        <f>SUM($D$78:$AJ$78)</f>
        <v>1.1544390999382703E-3</v>
      </c>
      <c r="AB92" s="179">
        <f>SUM($D$79:$AJ$79)</f>
        <v>3.5276777702841121E-2</v>
      </c>
      <c r="AC92" s="179">
        <f>SUM($D$80:$AJ$80)</f>
        <v>5.0545211080466772E-2</v>
      </c>
      <c r="AD92" s="179">
        <f>SUM($D$81:$AJ$81)</f>
        <v>1.7878989222726218E-5</v>
      </c>
      <c r="AE92" s="179">
        <f>SUM($D$82:$AJ$82)</f>
        <v>2.4375425496110409E-4</v>
      </c>
      <c r="AF92" s="179">
        <f>SUM($D$83:$AJ$83)</f>
        <v>2.1084836832716567E-3</v>
      </c>
      <c r="AG92" s="179">
        <f>SUM($D$84:$AJ$84)</f>
        <v>8.3605307483349553E-4</v>
      </c>
      <c r="AH92" s="179">
        <f>SUM($D$85:$AJ$85)</f>
        <v>4.5888589729451753E-3</v>
      </c>
      <c r="AI92" s="179">
        <f>SUM($D$86:$AJ$86)</f>
        <v>2.3452403770702612E-7</v>
      </c>
      <c r="AJ92" s="380">
        <f>SUM($D$87:$AJ$87)</f>
        <v>2.8049674473337559E-4</v>
      </c>
    </row>
    <row r="93" spans="2:36" ht="12.75" customHeight="1" x14ac:dyDescent="0.2">
      <c r="B93" s="146" t="s">
        <v>1212</v>
      </c>
      <c r="C93" s="150">
        <f>SUM(D93:AJ93)</f>
        <v>3.5137300713126325</v>
      </c>
      <c r="D93" s="179">
        <f t="shared" ref="D93:AJ93" si="61">SUM(D55:D87)</f>
        <v>9.7891082229362159E-3</v>
      </c>
      <c r="E93" s="179">
        <f t="shared" si="61"/>
        <v>8.7108960991969502E-3</v>
      </c>
      <c r="F93" s="179">
        <f t="shared" si="61"/>
        <v>0.29796424124218845</v>
      </c>
      <c r="G93" s="179">
        <f t="shared" si="61"/>
        <v>0.67339231951645295</v>
      </c>
      <c r="H93" s="179">
        <f t="shared" si="61"/>
        <v>0.24365510389423975</v>
      </c>
      <c r="I93" s="179">
        <f t="shared" si="61"/>
        <v>2.2801623443945707E-3</v>
      </c>
      <c r="J93" s="179">
        <f t="shared" si="61"/>
        <v>0.1024968764680679</v>
      </c>
      <c r="K93" s="179">
        <f t="shared" si="61"/>
        <v>0.22777083659570635</v>
      </c>
      <c r="L93" s="179">
        <f t="shared" si="61"/>
        <v>3.7961806099284401E-2</v>
      </c>
      <c r="M93" s="179">
        <f t="shared" si="61"/>
        <v>0.52956569951183219</v>
      </c>
      <c r="N93" s="179">
        <f t="shared" si="61"/>
        <v>8.0119314901360567E-4</v>
      </c>
      <c r="O93" s="179">
        <f t="shared" si="61"/>
        <v>1.0016218597224149E-2</v>
      </c>
      <c r="P93" s="179">
        <f t="shared" si="61"/>
        <v>0.77729802184477825</v>
      </c>
      <c r="Q93" s="179">
        <f t="shared" si="61"/>
        <v>1.4253683195579346E-3</v>
      </c>
      <c r="R93" s="179">
        <f t="shared" si="61"/>
        <v>1.6194673972496452E-3</v>
      </c>
      <c r="S93" s="179">
        <f t="shared" si="61"/>
        <v>2.475534384096903E-2</v>
      </c>
      <c r="T93" s="179">
        <f t="shared" si="61"/>
        <v>5.5011875202153393E-2</v>
      </c>
      <c r="U93" s="179">
        <f t="shared" si="61"/>
        <v>9.168645867025562E-3</v>
      </c>
      <c r="V93" s="179">
        <f t="shared" si="61"/>
        <v>3.8642034044202925E-2</v>
      </c>
      <c r="W93" s="179">
        <f t="shared" si="61"/>
        <v>0.23134953813263534</v>
      </c>
      <c r="X93" s="179">
        <f t="shared" si="61"/>
        <v>0.15344909195759104</v>
      </c>
      <c r="Y93" s="179">
        <f t="shared" si="61"/>
        <v>2.6253051151170275E-5</v>
      </c>
      <c r="Z93" s="179">
        <f t="shared" si="61"/>
        <v>7.1448967786489617E-3</v>
      </c>
      <c r="AA93" s="179">
        <f t="shared" si="61"/>
        <v>7.9729754877085198E-4</v>
      </c>
      <c r="AB93" s="179">
        <f t="shared" si="61"/>
        <v>3.3105960696870725E-2</v>
      </c>
      <c r="AC93" s="179">
        <f t="shared" si="61"/>
        <v>3.0951473221798732E-2</v>
      </c>
      <c r="AD93" s="179">
        <f t="shared" si="61"/>
        <v>1.7107602300392504E-5</v>
      </c>
      <c r="AE93" s="179">
        <f t="shared" si="61"/>
        <v>1.3165983779625119E-4</v>
      </c>
      <c r="AF93" s="179">
        <f t="shared" si="61"/>
        <v>1.381255554193797E-3</v>
      </c>
      <c r="AG93" s="179">
        <f t="shared" si="61"/>
        <v>5.6993789562176855E-4</v>
      </c>
      <c r="AH93" s="179">
        <f t="shared" si="61"/>
        <v>2.3344578679781493E-3</v>
      </c>
      <c r="AI93" s="179">
        <f t="shared" si="61"/>
        <v>1.7397949106511379E-7</v>
      </c>
      <c r="AJ93" s="380">
        <f t="shared" si="61"/>
        <v>1.457489313109281E-4</v>
      </c>
    </row>
    <row r="94" spans="2:36" ht="12.75" customHeight="1" x14ac:dyDescent="0.2">
      <c r="B94" s="152" t="s">
        <v>1211</v>
      </c>
      <c r="C94" s="150">
        <f>SUM(D94:AJ94)</f>
        <v>4.2426802226069817</v>
      </c>
      <c r="D94" s="179">
        <f>k.aR*D45</f>
        <v>0.50821303065603385</v>
      </c>
      <c r="E94" s="179">
        <f>k.w0R*E45</f>
        <v>8.4767521504304916E-3</v>
      </c>
      <c r="F94" s="179">
        <f>k.w1R*F45</f>
        <v>0.79884141662509078</v>
      </c>
      <c r="G94" s="179">
        <f>k.w2R*G45</f>
        <v>3.9998034690438333E-2</v>
      </c>
      <c r="H94" s="179">
        <f>k.sd1R*H45</f>
        <v>4.1744678899500551E-2</v>
      </c>
      <c r="I94" s="179">
        <f>k.sd2R*I45</f>
        <v>4.4458139840906051E-4</v>
      </c>
      <c r="J94" s="179">
        <f>k.s1R*J45</f>
        <v>9.2648538784425485E-2</v>
      </c>
      <c r="K94" s="179">
        <f>k.s2R*K45</f>
        <v>1.5661559012712336</v>
      </c>
      <c r="L94" s="179">
        <f>k.s3R*L45</f>
        <v>3.4311857335303043E-2</v>
      </c>
      <c r="M94" s="179">
        <f>k.aC*M45</f>
        <v>0.25251921148571405</v>
      </c>
      <c r="N94" s="179">
        <f>k.w0C*N45</f>
        <v>7.7965753138042415E-4</v>
      </c>
      <c r="O94" s="179">
        <f>k.w1C*O45</f>
        <v>4.6731762618952644E-3</v>
      </c>
      <c r="P94" s="179">
        <f>k.w2C*P45</f>
        <v>0.56816580007529593</v>
      </c>
      <c r="Q94" s="179">
        <f>k.sd1C*Q45</f>
        <v>2.4379298264804887E-4</v>
      </c>
      <c r="R94" s="179">
        <f>k.sd2C*R45</f>
        <v>3.1573179835145762E-4</v>
      </c>
      <c r="S94" s="179">
        <f>k.s1C*S45</f>
        <v>2.2376744667788422E-2</v>
      </c>
      <c r="T94" s="179">
        <f>k.s2C*T45</f>
        <v>5.2470967068329315E-2</v>
      </c>
      <c r="U94" s="179">
        <f>k.s3C*U45</f>
        <v>8.2871051925924085E-3</v>
      </c>
      <c r="V94" s="179">
        <f>k.aM*V45</f>
        <v>1.9013178635161356E-2</v>
      </c>
      <c r="W94" s="179">
        <f>k.w2M*W45</f>
        <v>5.2762560410557373E-2</v>
      </c>
      <c r="X94" s="179">
        <f>k.w3M*X45</f>
        <v>0.13815732725204385</v>
      </c>
      <c r="Y94" s="179">
        <f>k.sdM*Y45</f>
        <v>4.6778649201622114E-6</v>
      </c>
      <c r="Z94" s="179">
        <f>k.sM*Z45</f>
        <v>6.4583845783203423E-3</v>
      </c>
      <c r="AA94" s="179">
        <f>k.aA*AA45</f>
        <v>3.5714155116741824E-4</v>
      </c>
      <c r="AB94" s="179">
        <f>k.w2A*AB45</f>
        <v>2.1708170059704006E-3</v>
      </c>
      <c r="AC94" s="179">
        <f>k.w3A*AC45</f>
        <v>1.9593737858668032E-2</v>
      </c>
      <c r="AD94" s="179">
        <f>k.sdA*AD45</f>
        <v>7.7138692233371217E-7</v>
      </c>
      <c r="AE94" s="179">
        <f>k.sA*AE45</f>
        <v>1.1209441716485282E-4</v>
      </c>
      <c r="AF94" s="179">
        <f>k.aT*AF45</f>
        <v>7.2722812907785996E-4</v>
      </c>
      <c r="AG94" s="179">
        <f>k.w2T*AG45</f>
        <v>2.6611517921172704E-4</v>
      </c>
      <c r="AH94" s="179">
        <f>k.w3T*AH45</f>
        <v>2.254401104967026E-3</v>
      </c>
      <c r="AI94" s="179">
        <f>k.sdT*AI45</f>
        <v>6.0544546641912323E-8</v>
      </c>
      <c r="AJ94" s="374">
        <f>k.sT*AJ45</f>
        <v>1.3474781342244751E-4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2631.9114717665552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172.57705606157529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102059.47190757698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27.48403001757875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700842.76544825721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1065984.3198095008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2452949.6790689002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9.416395250352635E-4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1.7703550156734735E-3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1.7703550156734735E-3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1.7703550156734733E-3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3.2433509736249609E-3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99.836860635402232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6.5464023694242686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3893.7526634760584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1.0485652442030542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26738.413727177849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40669.221649909487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93584.448045122466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7.2816902647752066E-6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7.5555800412712927E-10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3.5634652873814484E-5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2.3927106760405139E-5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2.3927106760405139E-5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2.3927106760405139E-5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2.3603611454823871E-5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1.2386888961088596E-2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3.9711135849005027E-4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3.9711135849005027E-4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6.581761581910175E-5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0.96436534712618549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0.97607289323959479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0.97607289323959479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0.97607289323959479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0.97639638854517607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0.99999966115595873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0.99999148869206089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0.99996611673250069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0.99914958578168711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0.9966230012016889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0.99914958578168711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0.9966230012016889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0.99914958578168711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0.99156045182276509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0.9966230012016889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0.96722610854541258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0.99353903943270516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0.99353903943270516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0.99353407703352459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0.99353407703352459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0.99353407703352459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0.99353407703352459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0.99353903973825985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0.99353903943270516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0.99353903784375253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6.4609602496933077E-3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6.4609602496933077E-3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6.4659226496925713E-3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6.4659226496925713E-3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6.4659226496925713E-3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6.4659226496925713E-3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6.4609602516803215E-3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6.4609602496933077E-3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6.4609602393603874E-3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0.99968498850414056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0.99968498850414056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0.99820620799108495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0.99820620799108495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0.99923939228777903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0.99923939228777903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0.99923939228777903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0.99923939228777903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0.99923939228777903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0.99923939228777903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0.99923939228777903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0.99923939228777903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17176213159.716074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95074513319.140808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962162254.58630133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2138140453.0148363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356356742.16913933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32884783.873968229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361732622.61365044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14012671991.34993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39650393762.213326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146358495464.43246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63089936.541865975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140199862.97955677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23366643.829926129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2156288.0252888594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23719168.278177451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3773532.1419799984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39094107618.834053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336830187672.104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110064.4630283444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7.4743485216883895E-6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9.0459815058013851E-6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9.0459815058013851E-6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9.0459815058013851E-6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1.0057249127897143E-5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4.3486201567445368E-8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4.580218015700943E-9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4.3486201567445368E-8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4.580218015700943E-9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4.3469483354178676E-8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2.0858399757986424E-9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4.3469483354178676E-8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2.0858399757986419E-9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4.3486225145605207E-8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4.5837173248885841E-9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4.3486225145605207E-8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4.5837173248885841E-9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9.4685168992258617E-9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1.651334554068617E-9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1.0579136849972536E-8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1.0580096758225705E-8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4.3486201567445368E-8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4.580218015700943E-9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1.0705701124434139E-7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8.4853959516793628E-9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8.685696044300724E-8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8.685696044300724E-8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8.6728477588904822E-8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8.6728477588904822E-8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1.8894918047157747E-8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8.6818245114295561E-8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8.6818245114295561E-8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8.6818245114295561E-8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2.1377159489774912E-7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1.8894918047157747E-8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8.6818245114295561E-8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2.1377159489774912E-7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1205340070.6487617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1205340070.6487617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1205340070.6487617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1205340070.6487617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1205340070.6487617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642230094.53842366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20342300.315913603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20342300.315913603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20342300.315913603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3370435.2346678358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1.557074866700018E-9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4.9158665603902462E-8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4.9158665603902462E-8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4.9158665603902462E-8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2.9669768715870563E-7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7.4739821958065615E-6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9.0456151799195571E-6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9.0456151799195571E-6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9.0456151799195571E-6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1.0056882802015316E-5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8.685696044300724E-8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8.685696044300724E-8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8.6728477588904822E-8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8.6728477588904822E-8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1.8894918047157747E-8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8.6818245114295561E-8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8.6818245114295561E-8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8.6818245114295561E-8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2.1377159489774912E-7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1.8894918047157747E-8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8.6818245114295561E-8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2.1377159489774912E-7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264.01059655875667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264.01059655875667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264.01059655875667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264.01059655875667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264.01059655875667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264.01059655875667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20.503433979592884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20.503433979592884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20.487595885087657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20.487595885087657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20.487595885087657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20.487595885087657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20.503433979592884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51.21898971271915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51.21898971271915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50.862067853401449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50.862067853401449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50.862067853401449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50.862067853401449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50.862067853401449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20.503433979592884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20.503433979592884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102.20032562438601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102.20032562438601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102.20032562438601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102.20032562438601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99.435216023782488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99.435216023782488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99.435216023782488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99.435216023782488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99.435216023782488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99.435216023782488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99.435216023782488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99.435216023782488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30.955150979220729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30.955150979220729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30.931393837430026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30.931393837430026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30.931393837430026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30.931393837430026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26.231033926700718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26.231033926700718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26.231033926700718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26.409494856359572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26.409494856359572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26.231033926700718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26.231033926700718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30.955150969700735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30.955150979220729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30.955151028726856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1.4446293238207524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9.4725783325026208E-2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5.847907561046843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0.38345312212507648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0.53545884617486827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3.5110569753686247E-2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9.3191457274194249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59.532704860222779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109.03400480289831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3.8661873187415758E-3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3.8661873187415758E-3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3.8661873187415758E-3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3.8661873187415758E-3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3.8661873187415758E-3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4.6712434275245704E-6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4.6712434275245704E-6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4.6712434275245704E-6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4.6712434275245704E-6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4.6712434275245704E-6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7.542992909637095E-8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3.6731827661168209E-6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3.6731827661168209E-6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3.6731827661168209E-6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2.7866666659699999E-5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215.53974676598821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14.133155829958323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872.50853054855304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57.211253192195478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79.890525998948107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5.2385013447489186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1403.6343709583243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8882.3229033795178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16228.319757586783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4244.5359296785937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278.31844761854711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53380.045704505661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14.374939935128554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366560.96834577771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557540.52659852209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1282963.3892102221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1.9891961693890194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0.13043357366868477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8.025419396564871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0.52623474154660921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0.73484092648427068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4.818425130427953E-2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1.1384311871011166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81.974127555516702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487.65284809121971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1.6500872260248691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0.10819786256756028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18.124109743114239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1.1884159238472281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152.87358912988151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682.08162081106207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7340.6788199067605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0.1836806656983912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101929.39733640624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2024-07-24T09:11:04Z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