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-my.sharepoint.com/personal/joris_quik_rivm_nl/Documents/Git projects/SimpleBox_dev/SBooScripts/vignettes/Development/Quality control/SBExcel/"/>
    </mc:Choice>
  </mc:AlternateContent>
  <xr:revisionPtr revIDLastSave="3" documentId="8_{9AF46D9E-857A-45A0-A53A-A5ED02CEB3E4}" xr6:coauthVersionLast="47" xr6:coauthVersionMax="47" xr10:uidLastSave="{4E5624C5-65F0-4187-B6FF-FE415CCCD0F2}"/>
  <bookViews>
    <workbookView xWindow="-5610" yWindow="-21720" windowWidth="38640" windowHeight="21240" tabRatio="704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cases!$J$3:$S$1017</definedName>
    <definedName name="CaseName">input!$L$10</definedName>
    <definedName name="CaseNames">cases!$J$3:$S$3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46" i="7" l="1"/>
  <c r="K145" i="7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K50" i="6"/>
  <c r="L50" i="6" s="1"/>
  <c r="L203" i="8"/>
  <c r="K60" i="7" l="1"/>
  <c r="L60" i="7" s="1"/>
  <c r="B885" i="22" s="1"/>
  <c r="B497" i="22"/>
  <c r="F12" i="11"/>
  <c r="K58" i="7"/>
  <c r="L58" i="7" s="1"/>
  <c r="P12" i="11" s="1"/>
  <c r="B506" i="22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6" i="6" l="1"/>
  <c r="L56" i="6" s="1"/>
  <c r="B880" i="22" s="1"/>
  <c r="K61" i="7"/>
  <c r="L61" i="7" s="1"/>
  <c r="L52" i="6"/>
  <c r="L306" i="8"/>
  <c r="K169" i="8"/>
  <c r="B408" i="22"/>
  <c r="B872" i="22" l="1"/>
  <c r="B516" i="22"/>
  <c r="K51" i="6"/>
  <c r="L51" i="6" s="1"/>
  <c r="G21" i="11" s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/>
  <c r="L80" i="3"/>
  <c r="D5" i="11"/>
  <c r="D91" i="11"/>
  <c r="L82" i="3"/>
  <c r="F5" i="11"/>
  <c r="F91" i="11"/>
  <c r="L83" i="3"/>
  <c r="G5" i="11"/>
  <c r="G91" i="11"/>
  <c r="L84" i="3"/>
  <c r="J5" i="11"/>
  <c r="J91" i="11"/>
  <c r="L85" i="3"/>
  <c r="K5" i="11"/>
  <c r="K91" i="11"/>
  <c r="L86" i="3"/>
  <c r="L5" i="11"/>
  <c r="L91" i="11"/>
  <c r="L88" i="3"/>
  <c r="M5" i="11"/>
  <c r="M91" i="11"/>
  <c r="L90" i="3"/>
  <c r="O5" i="11"/>
  <c r="O91" i="11"/>
  <c r="L91" i="3"/>
  <c r="P5" i="11"/>
  <c r="P91" i="11"/>
  <c r="L92" i="3"/>
  <c r="S5" i="11"/>
  <c r="S91" i="11"/>
  <c r="L93" i="3"/>
  <c r="T5" i="11"/>
  <c r="T91" i="11"/>
  <c r="L94" i="3"/>
  <c r="U5" i="11"/>
  <c r="U91" i="11"/>
  <c r="L96" i="3"/>
  <c r="V5" i="11"/>
  <c r="V91" i="11"/>
  <c r="L97" i="3"/>
  <c r="W5" i="11"/>
  <c r="W91" i="11"/>
  <c r="L98" i="3"/>
  <c r="Z5" i="11"/>
  <c r="Z91" i="11"/>
  <c r="L100" i="3"/>
  <c r="AA5" i="11"/>
  <c r="AA91" i="11"/>
  <c r="L101" i="3"/>
  <c r="AB5" i="11"/>
  <c r="AB91" i="11"/>
  <c r="L102" i="3"/>
  <c r="AE5" i="11"/>
  <c r="AE91" i="11"/>
  <c r="L104" i="3"/>
  <c r="AF5" i="11"/>
  <c r="AF91" i="11"/>
  <c r="L105" i="3"/>
  <c r="AG5" i="11"/>
  <c r="AG91" i="11"/>
  <c r="L106" i="3"/>
  <c r="AJ5" i="11"/>
  <c r="AJ91" i="11"/>
  <c r="C91" i="11"/>
  <c r="K136" i="6"/>
  <c r="L136" i="6"/>
  <c r="K137" i="6"/>
  <c r="L137" i="6"/>
  <c r="J19" i="3"/>
  <c r="L19" i="3"/>
  <c r="J39" i="3"/>
  <c r="L39" i="3"/>
  <c r="J35" i="3"/>
  <c r="L35" i="3"/>
  <c r="K36" i="3"/>
  <c r="L36" i="3"/>
  <c r="K63" i="6"/>
  <c r="L63" i="6"/>
  <c r="J14" i="3"/>
  <c r="L14" i="3"/>
  <c r="K25" i="3"/>
  <c r="L25" i="3"/>
  <c r="J66" i="6"/>
  <c r="J17" i="3"/>
  <c r="L17" i="3"/>
  <c r="K18" i="3"/>
  <c r="L18" i="3"/>
  <c r="K67" i="6"/>
  <c r="L67" i="6"/>
  <c r="J20" i="3"/>
  <c r="L20" i="3"/>
  <c r="K21" i="3"/>
  <c r="L21" i="3"/>
  <c r="K23" i="3"/>
  <c r="L23" i="3"/>
  <c r="K70" i="6"/>
  <c r="L70" i="6"/>
  <c r="K66" i="6"/>
  <c r="L66" i="6"/>
  <c r="K133" i="6"/>
  <c r="L133" i="6"/>
  <c r="K114" i="6"/>
  <c r="L114" i="6"/>
  <c r="E9" i="11"/>
  <c r="J60" i="6"/>
  <c r="K24" i="3"/>
  <c r="L24" i="3"/>
  <c r="K64" i="6"/>
  <c r="L64" i="6"/>
  <c r="K65" i="6"/>
  <c r="L65" i="6"/>
  <c r="K60" i="6"/>
  <c r="L60" i="6"/>
  <c r="J66" i="3"/>
  <c r="L66" i="3"/>
  <c r="K197" i="6"/>
  <c r="L197" i="6"/>
  <c r="K187" i="6"/>
  <c r="L187" i="6"/>
  <c r="J108" i="6"/>
  <c r="J126" i="6"/>
  <c r="K61" i="6"/>
  <c r="L61" i="6"/>
  <c r="J62" i="6"/>
  <c r="K62" i="6"/>
  <c r="L62" i="6"/>
  <c r="K126" i="6"/>
  <c r="L126" i="6"/>
  <c r="K131" i="6"/>
  <c r="L131" i="6"/>
  <c r="J75" i="3"/>
  <c r="L75" i="3"/>
  <c r="K209" i="6"/>
  <c r="L209" i="6"/>
  <c r="K142" i="6"/>
  <c r="L142" i="6"/>
  <c r="K30" i="3"/>
  <c r="L30" i="3"/>
  <c r="K29" i="3"/>
  <c r="L29" i="3"/>
  <c r="K93" i="6"/>
  <c r="L93" i="6"/>
  <c r="K90" i="6"/>
  <c r="L90" i="6"/>
  <c r="K132" i="6"/>
  <c r="L132" i="6"/>
  <c r="K122" i="6"/>
  <c r="L122" i="6"/>
  <c r="J127" i="6"/>
  <c r="K127" i="6"/>
  <c r="L127" i="6"/>
  <c r="J128" i="6"/>
  <c r="K128" i="6"/>
  <c r="L128" i="6"/>
  <c r="K123" i="6"/>
  <c r="L123" i="6"/>
  <c r="K121" i="6"/>
  <c r="L121" i="6"/>
  <c r="K120" i="6"/>
  <c r="L120" i="6"/>
  <c r="K108" i="6"/>
  <c r="L108" i="6"/>
  <c r="D10" i="11"/>
  <c r="J109" i="6"/>
  <c r="K109" i="6"/>
  <c r="L109" i="6"/>
  <c r="D11" i="11"/>
  <c r="J110" i="6"/>
  <c r="K110" i="6"/>
  <c r="L110" i="6"/>
  <c r="D12" i="11"/>
  <c r="J111" i="6"/>
  <c r="K111" i="6"/>
  <c r="L111" i="6"/>
  <c r="D15" i="11"/>
  <c r="J112" i="6"/>
  <c r="K112" i="6"/>
  <c r="L112" i="6"/>
  <c r="D16" i="11"/>
  <c r="J113" i="6"/>
  <c r="K113" i="6"/>
  <c r="L113" i="6"/>
  <c r="D17" i="11"/>
  <c r="D9" i="11"/>
  <c r="J72" i="6"/>
  <c r="K73" i="6"/>
  <c r="L73" i="6"/>
  <c r="K76" i="6"/>
  <c r="L76" i="6"/>
  <c r="K72" i="6"/>
  <c r="L72" i="6"/>
  <c r="K134" i="6"/>
  <c r="L134" i="6"/>
  <c r="K115" i="6"/>
  <c r="L115" i="6"/>
  <c r="F9" i="11"/>
  <c r="K27" i="3"/>
  <c r="L27" i="3"/>
  <c r="J78" i="6"/>
  <c r="K79" i="6"/>
  <c r="L79" i="6"/>
  <c r="K82" i="6"/>
  <c r="L82" i="6"/>
  <c r="K78" i="6"/>
  <c r="L78" i="6"/>
  <c r="K135" i="6"/>
  <c r="L135" i="6"/>
  <c r="K116" i="6"/>
  <c r="L116" i="6"/>
  <c r="G9" i="11"/>
  <c r="K138" i="6"/>
  <c r="L138" i="6"/>
  <c r="K117" i="6"/>
  <c r="L117" i="6"/>
  <c r="J9" i="11"/>
  <c r="K32" i="3"/>
  <c r="L32" i="3"/>
  <c r="K31" i="3"/>
  <c r="L31" i="3"/>
  <c r="K98" i="6"/>
  <c r="L98" i="6"/>
  <c r="K95" i="6"/>
  <c r="L95" i="6"/>
  <c r="K139" i="6"/>
  <c r="L139" i="6"/>
  <c r="K118" i="6"/>
  <c r="L118" i="6"/>
  <c r="K9" i="11"/>
  <c r="K34" i="3"/>
  <c r="L34" i="3"/>
  <c r="K33" i="3"/>
  <c r="L33" i="3"/>
  <c r="K103" i="6"/>
  <c r="L103" i="6"/>
  <c r="K100" i="6"/>
  <c r="L100" i="6"/>
  <c r="K140" i="6"/>
  <c r="L140" i="6"/>
  <c r="K119" i="6"/>
  <c r="L119" i="6"/>
  <c r="L9" i="11"/>
  <c r="J70" i="3"/>
  <c r="L70" i="3"/>
  <c r="K200" i="6"/>
  <c r="L200" i="6"/>
  <c r="K188" i="6"/>
  <c r="L188" i="6"/>
  <c r="E10" i="11"/>
  <c r="K172" i="6"/>
  <c r="L172" i="6"/>
  <c r="J10" i="11"/>
  <c r="K173" i="6"/>
  <c r="L173" i="6"/>
  <c r="K10" i="11"/>
  <c r="K174" i="6"/>
  <c r="L174" i="6"/>
  <c r="L10" i="11"/>
  <c r="K201" i="6"/>
  <c r="L201" i="6"/>
  <c r="K189" i="6"/>
  <c r="L189" i="6"/>
  <c r="K151" i="6"/>
  <c r="L151" i="6"/>
  <c r="K162" i="6"/>
  <c r="L162" i="6"/>
  <c r="K147" i="6"/>
  <c r="L147" i="6"/>
  <c r="F13" i="11"/>
  <c r="F11" i="11"/>
  <c r="K26" i="3"/>
  <c r="L26" i="3"/>
  <c r="K85" i="6"/>
  <c r="L85" i="6"/>
  <c r="K84" i="6"/>
  <c r="L84" i="6"/>
  <c r="K163" i="6"/>
  <c r="L163" i="6"/>
  <c r="K149" i="6"/>
  <c r="L149" i="6"/>
  <c r="H11" i="11"/>
  <c r="K169" i="6"/>
  <c r="L169" i="6"/>
  <c r="J11" i="11"/>
  <c r="K170" i="6"/>
  <c r="L170" i="6"/>
  <c r="K11" i="11"/>
  <c r="K171" i="6"/>
  <c r="L171" i="6"/>
  <c r="L11" i="11"/>
  <c r="K202" i="6"/>
  <c r="L202" i="6"/>
  <c r="K190" i="6"/>
  <c r="L190" i="6"/>
  <c r="K153" i="6"/>
  <c r="L153" i="6"/>
  <c r="K164" i="6"/>
  <c r="L164" i="6"/>
  <c r="K148" i="6"/>
  <c r="L148" i="6"/>
  <c r="G14" i="11"/>
  <c r="G12" i="11"/>
  <c r="K28" i="3"/>
  <c r="L28" i="3"/>
  <c r="K88" i="6"/>
  <c r="L88" i="6"/>
  <c r="K87" i="6"/>
  <c r="L87" i="6"/>
  <c r="K165" i="6"/>
  <c r="L165" i="6"/>
  <c r="K150" i="6"/>
  <c r="L150" i="6"/>
  <c r="I12" i="11"/>
  <c r="J74" i="3"/>
  <c r="L74" i="3"/>
  <c r="K207" i="6"/>
  <c r="L207" i="6"/>
  <c r="K191" i="6"/>
  <c r="L191" i="6"/>
  <c r="H13" i="11"/>
  <c r="K208" i="6"/>
  <c r="L208" i="6"/>
  <c r="K192" i="6"/>
  <c r="L192" i="6"/>
  <c r="I14" i="11"/>
  <c r="K193" i="6"/>
  <c r="L193" i="6"/>
  <c r="J15" i="11"/>
  <c r="K210" i="6"/>
  <c r="L210" i="6"/>
  <c r="K194" i="6"/>
  <c r="L194" i="6"/>
  <c r="K16" i="11"/>
  <c r="K211" i="6"/>
  <c r="L211" i="6"/>
  <c r="K195" i="6"/>
  <c r="L195" i="6"/>
  <c r="L17" i="11"/>
  <c r="J66" i="7"/>
  <c r="K69" i="7"/>
  <c r="L69" i="7"/>
  <c r="K70" i="7"/>
  <c r="L70" i="7"/>
  <c r="K71" i="7"/>
  <c r="L71" i="7"/>
  <c r="K66" i="7"/>
  <c r="L66" i="7"/>
  <c r="K203" i="7"/>
  <c r="L203" i="7"/>
  <c r="K193" i="7"/>
  <c r="L193" i="7"/>
  <c r="J114" i="7"/>
  <c r="J132" i="7"/>
  <c r="K67" i="7"/>
  <c r="L67" i="7"/>
  <c r="J68" i="7"/>
  <c r="K68" i="7"/>
  <c r="L68" i="7"/>
  <c r="K132" i="7"/>
  <c r="L132" i="7"/>
  <c r="K142" i="7"/>
  <c r="L142" i="7"/>
  <c r="K143" i="7"/>
  <c r="L143" i="7"/>
  <c r="K137" i="7"/>
  <c r="L137" i="7"/>
  <c r="K215" i="7"/>
  <c r="L215" i="7"/>
  <c r="K148" i="7"/>
  <c r="L148" i="7"/>
  <c r="K99" i="7"/>
  <c r="L99" i="7"/>
  <c r="K96" i="7"/>
  <c r="L96" i="7"/>
  <c r="K138" i="7"/>
  <c r="L138" i="7"/>
  <c r="K128" i="7"/>
  <c r="L128" i="7"/>
  <c r="J133" i="7"/>
  <c r="K133" i="7"/>
  <c r="L133" i="7"/>
  <c r="J134" i="7"/>
  <c r="K134" i="7"/>
  <c r="L134" i="7"/>
  <c r="K129" i="7"/>
  <c r="L129" i="7"/>
  <c r="K127" i="7"/>
  <c r="L127" i="7"/>
  <c r="K126" i="7"/>
  <c r="L126" i="7"/>
  <c r="K114" i="7"/>
  <c r="L114" i="7"/>
  <c r="M19" i="11"/>
  <c r="J115" i="7"/>
  <c r="K115" i="7"/>
  <c r="L115" i="7"/>
  <c r="M20" i="11"/>
  <c r="J116" i="7"/>
  <c r="K116" i="7"/>
  <c r="L116" i="7"/>
  <c r="M21" i="11"/>
  <c r="J117" i="7"/>
  <c r="K117" i="7"/>
  <c r="L117" i="7"/>
  <c r="M24" i="11"/>
  <c r="J118" i="7"/>
  <c r="K118" i="7"/>
  <c r="L118" i="7"/>
  <c r="M25" i="11"/>
  <c r="J119" i="7"/>
  <c r="K119" i="7"/>
  <c r="L119" i="7"/>
  <c r="M26" i="11"/>
  <c r="M18" i="11"/>
  <c r="J72" i="7"/>
  <c r="K73" i="7"/>
  <c r="L73" i="7"/>
  <c r="K76" i="7"/>
  <c r="L76" i="7"/>
  <c r="K72" i="7"/>
  <c r="L72" i="7"/>
  <c r="K139" i="7"/>
  <c r="L139" i="7"/>
  <c r="K120" i="7"/>
  <c r="L120" i="7"/>
  <c r="N18" i="11"/>
  <c r="J78" i="7"/>
  <c r="K79" i="7"/>
  <c r="L79" i="7"/>
  <c r="K82" i="7"/>
  <c r="L82" i="7"/>
  <c r="K78" i="7"/>
  <c r="L78" i="7"/>
  <c r="K140" i="7"/>
  <c r="L140" i="7"/>
  <c r="K121" i="7"/>
  <c r="L121" i="7"/>
  <c r="O18" i="11"/>
  <c r="J84" i="7"/>
  <c r="K85" i="7"/>
  <c r="L85" i="7"/>
  <c r="K88" i="7"/>
  <c r="L88" i="7"/>
  <c r="K84" i="7"/>
  <c r="L84" i="7"/>
  <c r="K141" i="7"/>
  <c r="L141" i="7"/>
  <c r="K122" i="7"/>
  <c r="L122" i="7"/>
  <c r="P18" i="11"/>
  <c r="K144" i="7"/>
  <c r="L144" i="7"/>
  <c r="K123" i="7"/>
  <c r="L123" i="7"/>
  <c r="S18" i="11"/>
  <c r="L145" i="7"/>
  <c r="K124" i="7"/>
  <c r="L124" i="7" s="1"/>
  <c r="T18" i="11" s="1"/>
  <c r="L146" i="7"/>
  <c r="K125" i="7"/>
  <c r="L125" i="7" s="1"/>
  <c r="U18" i="11" s="1"/>
  <c r="U26" i="11" s="1"/>
  <c r="K206" i="7"/>
  <c r="L206" i="7"/>
  <c r="K194" i="7"/>
  <c r="L194" i="7"/>
  <c r="N19" i="11"/>
  <c r="K178" i="7"/>
  <c r="L178" i="7"/>
  <c r="S19" i="11"/>
  <c r="K104" i="7"/>
  <c r="L104" i="7"/>
  <c r="K101" i="7"/>
  <c r="L101" i="7"/>
  <c r="K179" i="7"/>
  <c r="L179" i="7"/>
  <c r="T19" i="11"/>
  <c r="K109" i="7"/>
  <c r="L109" i="7"/>
  <c r="K106" i="7"/>
  <c r="L106" i="7"/>
  <c r="K180" i="7"/>
  <c r="L180" i="7"/>
  <c r="U19" i="11"/>
  <c r="K207" i="7"/>
  <c r="L207" i="7"/>
  <c r="K195" i="7"/>
  <c r="L195" i="7"/>
  <c r="K157" i="7"/>
  <c r="L157" i="7"/>
  <c r="K168" i="7"/>
  <c r="L168" i="7"/>
  <c r="K153" i="7"/>
  <c r="L153" i="7"/>
  <c r="O22" i="11"/>
  <c r="O20" i="11"/>
  <c r="K91" i="7"/>
  <c r="L91" i="7"/>
  <c r="K90" i="7"/>
  <c r="L90" i="7"/>
  <c r="K169" i="7"/>
  <c r="L169" i="7"/>
  <c r="K155" i="7"/>
  <c r="L155" i="7"/>
  <c r="Q20" i="11"/>
  <c r="K175" i="7"/>
  <c r="L175" i="7"/>
  <c r="S20" i="11"/>
  <c r="K176" i="7"/>
  <c r="L176" i="7"/>
  <c r="T20" i="11"/>
  <c r="K177" i="7"/>
  <c r="L177" i="7"/>
  <c r="U20" i="11"/>
  <c r="K208" i="7"/>
  <c r="L208" i="7"/>
  <c r="K196" i="7"/>
  <c r="L196" i="7"/>
  <c r="K159" i="7"/>
  <c r="L159" i="7"/>
  <c r="K170" i="7"/>
  <c r="L170" i="7"/>
  <c r="K154" i="7"/>
  <c r="L154" i="7"/>
  <c r="P23" i="11"/>
  <c r="P21" i="11"/>
  <c r="K94" i="7"/>
  <c r="L94" i="7"/>
  <c r="K93" i="7"/>
  <c r="L93" i="7"/>
  <c r="K171" i="7"/>
  <c r="L171" i="7"/>
  <c r="K156" i="7"/>
  <c r="L156" i="7"/>
  <c r="R21" i="11"/>
  <c r="K213" i="7"/>
  <c r="L213" i="7"/>
  <c r="K197" i="7"/>
  <c r="L197" i="7"/>
  <c r="Q22" i="11"/>
  <c r="K214" i="7"/>
  <c r="L214" i="7"/>
  <c r="K198" i="7"/>
  <c r="L198" i="7"/>
  <c r="R23" i="11"/>
  <c r="K199" i="7"/>
  <c r="L199" i="7"/>
  <c r="S24" i="11"/>
  <c r="K216" i="7"/>
  <c r="L216" i="7"/>
  <c r="K200" i="7"/>
  <c r="L200" i="7"/>
  <c r="K217" i="7"/>
  <c r="L217" i="7"/>
  <c r="K201" i="7"/>
  <c r="L201" i="7"/>
  <c r="J46" i="8"/>
  <c r="K49" i="8"/>
  <c r="L49" i="8"/>
  <c r="K51" i="8"/>
  <c r="L51" i="8"/>
  <c r="K52" i="8"/>
  <c r="L52" i="8"/>
  <c r="K46" i="8"/>
  <c r="L46" i="8"/>
  <c r="K129" i="8"/>
  <c r="L129" i="8"/>
  <c r="K123" i="8"/>
  <c r="L123" i="8"/>
  <c r="J76" i="8"/>
  <c r="J86" i="8"/>
  <c r="K47" i="8"/>
  <c r="L47" i="8"/>
  <c r="J48" i="8"/>
  <c r="K48" i="8"/>
  <c r="L48" i="8"/>
  <c r="K86" i="8"/>
  <c r="L86" i="8"/>
  <c r="K96" i="8"/>
  <c r="L96" i="8"/>
  <c r="K97" i="8"/>
  <c r="L97" i="8"/>
  <c r="K92" i="8"/>
  <c r="L92" i="8"/>
  <c r="K138" i="8"/>
  <c r="L138" i="8"/>
  <c r="K100" i="8"/>
  <c r="L100" i="8"/>
  <c r="K71" i="8"/>
  <c r="L71" i="8"/>
  <c r="K68" i="8"/>
  <c r="L68" i="8"/>
  <c r="K93" i="8"/>
  <c r="L93" i="8"/>
  <c r="K82" i="8"/>
  <c r="L82" i="8"/>
  <c r="J87" i="8"/>
  <c r="K87" i="8"/>
  <c r="L87" i="8"/>
  <c r="J88" i="8"/>
  <c r="K88" i="8"/>
  <c r="L88" i="8"/>
  <c r="K83" i="8"/>
  <c r="L83" i="8"/>
  <c r="K81" i="8"/>
  <c r="L81" i="8"/>
  <c r="K80" i="8"/>
  <c r="L80" i="8"/>
  <c r="K76" i="8"/>
  <c r="L76" i="8"/>
  <c r="V28" i="11"/>
  <c r="J77" i="8"/>
  <c r="K77" i="8"/>
  <c r="L77" i="8"/>
  <c r="V31" i="11"/>
  <c r="V27" i="11"/>
  <c r="J53" i="8"/>
  <c r="K55" i="8"/>
  <c r="L55" i="8"/>
  <c r="K61" i="8"/>
  <c r="L61" i="8"/>
  <c r="K53" i="8"/>
  <c r="L53" i="8"/>
  <c r="K94" i="8"/>
  <c r="L94" i="8"/>
  <c r="K78" i="8"/>
  <c r="L78" i="8"/>
  <c r="W27" i="11"/>
  <c r="K95" i="8"/>
  <c r="L95" i="8"/>
  <c r="K79" i="8"/>
  <c r="L79" i="8"/>
  <c r="Z27" i="11"/>
  <c r="K132" i="8"/>
  <c r="L132" i="8"/>
  <c r="K124" i="8"/>
  <c r="L124" i="8"/>
  <c r="W28" i="11"/>
  <c r="K116" i="8"/>
  <c r="L116" i="8"/>
  <c r="Z28" i="11"/>
  <c r="J54" i="8"/>
  <c r="K56" i="8"/>
  <c r="L56" i="8"/>
  <c r="K62" i="8"/>
  <c r="L62" i="8"/>
  <c r="K54" i="8"/>
  <c r="L54" i="8"/>
  <c r="K133" i="8"/>
  <c r="L133" i="8"/>
  <c r="K125" i="8"/>
  <c r="L125" i="8"/>
  <c r="K105" i="8"/>
  <c r="L105" i="8"/>
  <c r="K111" i="8"/>
  <c r="L111" i="8"/>
  <c r="K103" i="8"/>
  <c r="L103" i="8"/>
  <c r="X30" i="11"/>
  <c r="X29" i="11"/>
  <c r="K66" i="8"/>
  <c r="L66" i="8"/>
  <c r="K65" i="8"/>
  <c r="L65" i="8"/>
  <c r="K112" i="8"/>
  <c r="L112" i="8"/>
  <c r="K104" i="8"/>
  <c r="L104" i="8"/>
  <c r="Y29" i="11"/>
  <c r="K137" i="8"/>
  <c r="L137" i="8"/>
  <c r="K126" i="8"/>
  <c r="L126" i="8"/>
  <c r="Y30" i="11"/>
  <c r="K127" i="8"/>
  <c r="L127" i="8"/>
  <c r="Z31" i="11"/>
  <c r="J182" i="8"/>
  <c r="K185" i="8"/>
  <c r="L185" i="8"/>
  <c r="K187" i="8"/>
  <c r="L187" i="8"/>
  <c r="K188" i="8"/>
  <c r="L188" i="8"/>
  <c r="K182" i="8"/>
  <c r="L182" i="8"/>
  <c r="K265" i="8"/>
  <c r="L265" i="8"/>
  <c r="K259" i="8"/>
  <c r="L259" i="8"/>
  <c r="J212" i="8"/>
  <c r="J222" i="8"/>
  <c r="K183" i="8"/>
  <c r="L183" i="8"/>
  <c r="J184" i="8"/>
  <c r="K184" i="8"/>
  <c r="L184" i="8"/>
  <c r="K222" i="8"/>
  <c r="L222" i="8"/>
  <c r="K232" i="8"/>
  <c r="L232" i="8"/>
  <c r="K233" i="8"/>
  <c r="L233" i="8"/>
  <c r="K228" i="8"/>
  <c r="L228" i="8"/>
  <c r="K274" i="8"/>
  <c r="L274" i="8"/>
  <c r="K236" i="8"/>
  <c r="L236" i="8"/>
  <c r="K207" i="8"/>
  <c r="L207" i="8"/>
  <c r="K204" i="8"/>
  <c r="L204" i="8"/>
  <c r="K229" i="8"/>
  <c r="L229" i="8"/>
  <c r="K218" i="8"/>
  <c r="L218" i="8"/>
  <c r="J223" i="8"/>
  <c r="K223" i="8"/>
  <c r="L223" i="8"/>
  <c r="J224" i="8"/>
  <c r="K224" i="8"/>
  <c r="L224" i="8"/>
  <c r="K219" i="8"/>
  <c r="L219" i="8"/>
  <c r="K217" i="8"/>
  <c r="L217" i="8"/>
  <c r="K216" i="8"/>
  <c r="L216" i="8"/>
  <c r="K212" i="8"/>
  <c r="L212" i="8"/>
  <c r="AA33" i="11"/>
  <c r="J213" i="8"/>
  <c r="K213" i="8"/>
  <c r="L213" i="8"/>
  <c r="AA36" i="11"/>
  <c r="AA32" i="11"/>
  <c r="J189" i="8"/>
  <c r="K191" i="8"/>
  <c r="L191" i="8"/>
  <c r="K197" i="8"/>
  <c r="L197" i="8"/>
  <c r="K189" i="8"/>
  <c r="L189" i="8"/>
  <c r="K230" i="8"/>
  <c r="L230" i="8"/>
  <c r="K214" i="8"/>
  <c r="L214" i="8"/>
  <c r="AB32" i="11"/>
  <c r="K231" i="8"/>
  <c r="L231" i="8"/>
  <c r="K215" i="8"/>
  <c r="L215" i="8"/>
  <c r="AE32" i="11"/>
  <c r="K268" i="8"/>
  <c r="L268" i="8"/>
  <c r="K260" i="8"/>
  <c r="L260" i="8"/>
  <c r="AB33" i="11"/>
  <c r="K252" i="8"/>
  <c r="L252" i="8"/>
  <c r="AE33" i="11"/>
  <c r="J190" i="8"/>
  <c r="K192" i="8"/>
  <c r="L192" i="8"/>
  <c r="K198" i="8"/>
  <c r="L198" i="8"/>
  <c r="K190" i="8"/>
  <c r="L190" i="8"/>
  <c r="K269" i="8"/>
  <c r="L269" i="8"/>
  <c r="K261" i="8"/>
  <c r="L261" i="8"/>
  <c r="K241" i="8"/>
  <c r="L241" i="8"/>
  <c r="K247" i="8"/>
  <c r="L247" i="8"/>
  <c r="K239" i="8"/>
  <c r="L239" i="8"/>
  <c r="AC35" i="11"/>
  <c r="AC34" i="11"/>
  <c r="K202" i="8"/>
  <c r="L202" i="8"/>
  <c r="K201" i="8"/>
  <c r="L201" i="8"/>
  <c r="K248" i="8"/>
  <c r="L248" i="8"/>
  <c r="K240" i="8"/>
  <c r="L240" i="8"/>
  <c r="AD34" i="11"/>
  <c r="K273" i="8"/>
  <c r="L273" i="8"/>
  <c r="K262" i="8"/>
  <c r="L262" i="8"/>
  <c r="AD35" i="11"/>
  <c r="K263" i="8"/>
  <c r="L263" i="8"/>
  <c r="AE36" i="11"/>
  <c r="J318" i="8"/>
  <c r="K321" i="8"/>
  <c r="L321" i="8"/>
  <c r="K323" i="8"/>
  <c r="L323" i="8"/>
  <c r="K324" i="8"/>
  <c r="L324" i="8"/>
  <c r="K318" i="8"/>
  <c r="L318" i="8"/>
  <c r="K401" i="8"/>
  <c r="L401" i="8"/>
  <c r="K395" i="8"/>
  <c r="L395" i="8"/>
  <c r="J348" i="8"/>
  <c r="J358" i="8"/>
  <c r="K319" i="8"/>
  <c r="L319" i="8"/>
  <c r="J320" i="8"/>
  <c r="K320" i="8"/>
  <c r="L320" i="8"/>
  <c r="K358" i="8"/>
  <c r="L358" i="8"/>
  <c r="K368" i="8"/>
  <c r="L368" i="8"/>
  <c r="K369" i="8"/>
  <c r="L369" i="8"/>
  <c r="K364" i="8"/>
  <c r="L364" i="8"/>
  <c r="K410" i="8"/>
  <c r="L410" i="8"/>
  <c r="K372" i="8"/>
  <c r="L372" i="8"/>
  <c r="K343" i="8"/>
  <c r="L343" i="8"/>
  <c r="K340" i="8"/>
  <c r="L340" i="8"/>
  <c r="K365" i="8"/>
  <c r="L365" i="8"/>
  <c r="K354" i="8"/>
  <c r="L354" i="8"/>
  <c r="J359" i="8"/>
  <c r="K359" i="8"/>
  <c r="L359" i="8"/>
  <c r="J360" i="8"/>
  <c r="K360" i="8"/>
  <c r="L360" i="8"/>
  <c r="K355" i="8"/>
  <c r="L355" i="8"/>
  <c r="K353" i="8"/>
  <c r="L353" i="8"/>
  <c r="K352" i="8"/>
  <c r="L352" i="8"/>
  <c r="K348" i="8"/>
  <c r="L348" i="8"/>
  <c r="AF38" i="11"/>
  <c r="J349" i="8"/>
  <c r="K349" i="8"/>
  <c r="L349" i="8"/>
  <c r="AF41" i="11"/>
  <c r="AF37" i="11"/>
  <c r="J325" i="8"/>
  <c r="K327" i="8"/>
  <c r="L327" i="8"/>
  <c r="K333" i="8"/>
  <c r="L333" i="8"/>
  <c r="K325" i="8"/>
  <c r="L325" i="8"/>
  <c r="K366" i="8"/>
  <c r="L366" i="8"/>
  <c r="K350" i="8"/>
  <c r="L350" i="8"/>
  <c r="AG37" i="11"/>
  <c r="K367" i="8"/>
  <c r="L367" i="8"/>
  <c r="K351" i="8"/>
  <c r="L351" i="8"/>
  <c r="AJ37" i="11"/>
  <c r="K404" i="8"/>
  <c r="L404" i="8"/>
  <c r="K396" i="8"/>
  <c r="L396" i="8"/>
  <c r="AG38" i="11"/>
  <c r="K388" i="8"/>
  <c r="L388" i="8"/>
  <c r="AJ38" i="11"/>
  <c r="J326" i="8"/>
  <c r="K328" i="8"/>
  <c r="L328" i="8"/>
  <c r="K334" i="8"/>
  <c r="L334" i="8"/>
  <c r="K326" i="8"/>
  <c r="L326" i="8"/>
  <c r="K405" i="8"/>
  <c r="L405" i="8"/>
  <c r="K397" i="8"/>
  <c r="L397" i="8"/>
  <c r="K377" i="8"/>
  <c r="L377" i="8"/>
  <c r="K383" i="8"/>
  <c r="L383" i="8"/>
  <c r="K375" i="8"/>
  <c r="L375" i="8"/>
  <c r="AH40" i="11"/>
  <c r="AH39" i="11"/>
  <c r="K338" i="8"/>
  <c r="L338" i="8"/>
  <c r="K337" i="8"/>
  <c r="L337" i="8"/>
  <c r="K384" i="8"/>
  <c r="L384" i="8"/>
  <c r="K376" i="8"/>
  <c r="L376" i="8"/>
  <c r="AI39" i="11"/>
  <c r="K409" i="8"/>
  <c r="L409" i="8"/>
  <c r="K398" i="8"/>
  <c r="L398" i="8"/>
  <c r="AI40" i="11"/>
  <c r="K399" i="8"/>
  <c r="L399" i="8"/>
  <c r="AJ41" i="11"/>
  <c r="AC12" i="23"/>
  <c r="L81" i="3"/>
  <c r="AC13" i="23"/>
  <c r="AC14" i="23"/>
  <c r="AC15" i="23"/>
  <c r="AC18" i="23"/>
  <c r="AC19" i="23"/>
  <c r="AC20" i="23"/>
  <c r="AC22" i="23"/>
  <c r="L89" i="3"/>
  <c r="AC23" i="23"/>
  <c r="AC24" i="23"/>
  <c r="AC25" i="23"/>
  <c r="AC28" i="23"/>
  <c r="AC29" i="23"/>
  <c r="AC30" i="23"/>
  <c r="AC32" i="23"/>
  <c r="AC33" i="23"/>
  <c r="AC36" i="23"/>
  <c r="AC38" i="23"/>
  <c r="AC39" i="23"/>
  <c r="AC42" i="23"/>
  <c r="AC44" i="23"/>
  <c r="AC45" i="23"/>
  <c r="AC48" i="23"/>
  <c r="K205" i="8"/>
  <c r="L205" i="8"/>
  <c r="K70" i="8"/>
  <c r="L70" i="8"/>
  <c r="K342" i="8"/>
  <c r="L342" i="8"/>
  <c r="K108" i="7"/>
  <c r="L108" i="7"/>
  <c r="AS92" i="23"/>
  <c r="K102" i="7"/>
  <c r="L102" i="7"/>
  <c r="K98" i="7"/>
  <c r="L98" i="7"/>
  <c r="AS93" i="23"/>
  <c r="K97" i="7"/>
  <c r="L97" i="7"/>
  <c r="K102" i="6"/>
  <c r="L102" i="6"/>
  <c r="AS28" i="23"/>
  <c r="AT138" i="23"/>
  <c r="K103" i="7"/>
  <c r="L103" i="7"/>
  <c r="K96" i="6"/>
  <c r="L96" i="6"/>
  <c r="K91" i="6"/>
  <c r="L91" i="6"/>
  <c r="K92" i="6"/>
  <c r="L92" i="6"/>
  <c r="K97" i="6"/>
  <c r="L97" i="6"/>
  <c r="K341" i="8"/>
  <c r="L341" i="8"/>
  <c r="K69" i="8"/>
  <c r="L69" i="8"/>
  <c r="K101" i="6"/>
  <c r="L101" i="6"/>
  <c r="K206" i="8"/>
  <c r="L206" i="8"/>
  <c r="AS30" i="23"/>
  <c r="K107" i="7"/>
  <c r="L107" i="7"/>
  <c r="B571" i="22"/>
  <c r="BF149" i="23"/>
  <c r="AS94" i="23"/>
  <c r="B575" i="22"/>
  <c r="AT149" i="23"/>
  <c r="AZ149" i="23"/>
  <c r="B661" i="22"/>
  <c r="B659" i="22"/>
  <c r="N817" i="18"/>
  <c r="Q817" i="18"/>
  <c r="R816" i="18"/>
  <c r="O816" i="18"/>
  <c r="N816" i="18"/>
  <c r="R817" i="18"/>
  <c r="Q816" i="18"/>
  <c r="P816" i="18"/>
  <c r="O817" i="18"/>
  <c r="P817" i="18"/>
  <c r="B593" i="22"/>
  <c r="B660" i="22"/>
  <c r="N493" i="18"/>
  <c r="N495" i="18"/>
  <c r="P493" i="18"/>
  <c r="P495" i="18"/>
  <c r="R498" i="18"/>
  <c r="R497" i="18"/>
  <c r="Q495" i="18"/>
  <c r="O494" i="18"/>
  <c r="O495" i="18"/>
  <c r="O497" i="18"/>
  <c r="R495" i="18"/>
  <c r="O498" i="18"/>
  <c r="R496" i="18"/>
  <c r="O496" i="18"/>
  <c r="R493" i="18"/>
  <c r="Q496" i="18"/>
  <c r="N498" i="18"/>
  <c r="Q494" i="18"/>
  <c r="R494" i="18"/>
  <c r="N496" i="18"/>
  <c r="Q497" i="18"/>
  <c r="P497" i="18"/>
  <c r="Q498" i="18"/>
  <c r="N494" i="18"/>
  <c r="Q493" i="18"/>
  <c r="B594" i="22"/>
  <c r="P494" i="18"/>
  <c r="P496" i="18"/>
  <c r="N497" i="18"/>
  <c r="P498" i="18"/>
  <c r="O493" i="18"/>
  <c r="B589" i="22"/>
  <c r="B663" i="22"/>
  <c r="B662" i="22"/>
  <c r="B588" i="22"/>
  <c r="N681" i="18"/>
  <c r="R681" i="18"/>
  <c r="P681" i="18"/>
  <c r="P680" i="18"/>
  <c r="Q680" i="18"/>
  <c r="Q681" i="18"/>
  <c r="O680" i="18"/>
  <c r="N680" i="18"/>
  <c r="R680" i="18"/>
  <c r="O681" i="18"/>
  <c r="B595" i="22"/>
  <c r="B590" i="22"/>
  <c r="N273" i="18"/>
  <c r="O271" i="18"/>
  <c r="N271" i="18"/>
  <c r="Q268" i="18"/>
  <c r="O272" i="18"/>
  <c r="R271" i="18"/>
  <c r="O273" i="18"/>
  <c r="R273" i="18"/>
  <c r="O270" i="18"/>
  <c r="N269" i="18"/>
  <c r="P271" i="18"/>
  <c r="Q272" i="18"/>
  <c r="Q270" i="18"/>
  <c r="N270" i="18"/>
  <c r="O268" i="18"/>
  <c r="P269" i="18"/>
  <c r="P272" i="18"/>
  <c r="N272" i="18"/>
  <c r="Q273" i="18"/>
  <c r="Q271" i="18"/>
  <c r="R268" i="18"/>
  <c r="P270" i="18"/>
  <c r="Q269" i="18"/>
  <c r="R272" i="18"/>
  <c r="P273" i="18"/>
  <c r="R270" i="18"/>
  <c r="O269" i="18"/>
  <c r="N268" i="18"/>
  <c r="P268" i="18"/>
  <c r="R269" i="18"/>
  <c r="B596" i="22"/>
  <c r="O953" i="18"/>
  <c r="R952" i="18"/>
  <c r="Q952" i="18"/>
  <c r="N952" i="18"/>
  <c r="O952" i="18"/>
  <c r="R953" i="18"/>
  <c r="Q953" i="18"/>
  <c r="P953" i="18"/>
  <c r="N953" i="18"/>
  <c r="P952" i="18"/>
  <c r="B597" i="22"/>
  <c r="B592" i="22"/>
  <c r="R690" i="18"/>
  <c r="N690" i="18"/>
  <c r="P690" i="18"/>
  <c r="O690" i="18"/>
  <c r="Q690" i="18"/>
  <c r="B591" i="22"/>
  <c r="B324" i="22"/>
  <c r="B211" i="22"/>
  <c r="B15" i="22"/>
  <c r="B14" i="22"/>
  <c r="B323" i="22"/>
  <c r="B210" i="22"/>
  <c r="P827" i="18"/>
  <c r="B550" i="22"/>
  <c r="R827" i="18"/>
  <c r="R828" i="18"/>
  <c r="O827" i="18"/>
  <c r="B370" i="22"/>
  <c r="B388" i="22"/>
  <c r="O828" i="18"/>
  <c r="N828" i="18"/>
  <c r="B407" i="22"/>
  <c r="B371" i="22"/>
  <c r="Q827" i="18"/>
  <c r="N827" i="18"/>
  <c r="Q828" i="18"/>
  <c r="P828" i="18"/>
  <c r="B379" i="22"/>
  <c r="P691" i="18"/>
  <c r="B420" i="22"/>
  <c r="R691" i="18"/>
  <c r="N692" i="18"/>
  <c r="R692" i="18"/>
  <c r="N691" i="18"/>
  <c r="Q692" i="18"/>
  <c r="Q691" i="18"/>
  <c r="B552" i="22"/>
  <c r="P692" i="18"/>
  <c r="O691" i="18"/>
  <c r="B390" i="22"/>
  <c r="O692" i="18"/>
  <c r="B378" i="22"/>
  <c r="R512" i="18"/>
  <c r="B389" i="22"/>
  <c r="P513" i="18"/>
  <c r="B374" i="22"/>
  <c r="B375" i="22"/>
  <c r="B373" i="22"/>
  <c r="N512" i="18"/>
  <c r="B376" i="22"/>
  <c r="O512" i="18"/>
  <c r="N513" i="18"/>
  <c r="B372" i="22"/>
  <c r="B411" i="22"/>
  <c r="B377" i="22"/>
  <c r="R513" i="18"/>
  <c r="O513" i="18"/>
  <c r="Q513" i="18"/>
  <c r="P512" i="18"/>
  <c r="Q512" i="18"/>
  <c r="B551" i="22"/>
  <c r="R826" i="18"/>
  <c r="O826" i="18"/>
  <c r="P826" i="18"/>
  <c r="N826" i="18"/>
  <c r="Q826" i="18"/>
  <c r="B325" i="22"/>
  <c r="B212" i="22"/>
  <c r="B16" i="22"/>
  <c r="B5" i="22"/>
  <c r="B2" i="22"/>
  <c r="O962" i="18"/>
  <c r="Q962" i="18"/>
  <c r="P962" i="18"/>
  <c r="R962" i="18"/>
  <c r="N962" i="18"/>
  <c r="B440" i="22"/>
  <c r="B674" i="22"/>
  <c r="B748" i="22"/>
  <c r="B446" i="22"/>
  <c r="B750" i="22"/>
  <c r="B676" i="22"/>
  <c r="B8" i="22"/>
  <c r="B6" i="22"/>
  <c r="B834" i="22"/>
  <c r="B829" i="22"/>
  <c r="B831" i="22"/>
  <c r="B835" i="22"/>
  <c r="B825" i="22"/>
  <c r="B319" i="22"/>
  <c r="B314" i="22"/>
  <c r="B4" i="22"/>
  <c r="B475" i="22"/>
  <c r="B681" i="22"/>
  <c r="B755" i="22"/>
  <c r="B318" i="22"/>
  <c r="B313" i="22"/>
  <c r="B478" i="22"/>
  <c r="B756" i="22"/>
  <c r="B682" i="22"/>
  <c r="B827" i="22"/>
  <c r="B836" i="22"/>
  <c r="B7" i="22"/>
  <c r="B18" i="22"/>
  <c r="B214" i="22"/>
  <c r="B327" i="22"/>
  <c r="B826" i="22"/>
  <c r="B326" i="22"/>
  <c r="B213" i="22"/>
  <c r="B17" i="22"/>
  <c r="B385" i="22"/>
  <c r="P287" i="18"/>
  <c r="B380" i="22"/>
  <c r="N287" i="18"/>
  <c r="B426" i="22"/>
  <c r="B382" i="22"/>
  <c r="B381" i="22"/>
  <c r="B391" i="22"/>
  <c r="Q287" i="18"/>
  <c r="P288" i="18"/>
  <c r="N288" i="18"/>
  <c r="O287" i="18"/>
  <c r="B383" i="22"/>
  <c r="B384" i="22"/>
  <c r="O288" i="18"/>
  <c r="R287" i="18"/>
  <c r="R288" i="18"/>
  <c r="Q288" i="18"/>
  <c r="B553" i="22"/>
  <c r="B315" i="22"/>
  <c r="B320" i="22"/>
  <c r="B680" i="22"/>
  <c r="B458" i="22"/>
  <c r="B754" i="22"/>
  <c r="B392" i="22"/>
  <c r="P964" i="18"/>
  <c r="N963" i="18"/>
  <c r="O964" i="18"/>
  <c r="R963" i="18"/>
  <c r="N964" i="18"/>
  <c r="B434" i="22"/>
  <c r="B387" i="22"/>
  <c r="Q963" i="18"/>
  <c r="P963" i="18"/>
  <c r="R964" i="18"/>
  <c r="O963" i="18"/>
  <c r="Q964" i="18"/>
  <c r="B554" i="22"/>
  <c r="B386" i="22"/>
  <c r="R286" i="18"/>
  <c r="N286" i="18"/>
  <c r="O286" i="18"/>
  <c r="Q286" i="18"/>
  <c r="P286" i="18"/>
  <c r="R511" i="18"/>
  <c r="P511" i="18"/>
  <c r="O511" i="18"/>
  <c r="N511" i="18"/>
  <c r="Q511" i="18"/>
  <c r="B3" i="22"/>
  <c r="B832" i="22"/>
  <c r="B483" i="22"/>
  <c r="B572" i="22"/>
  <c r="B525" i="22"/>
  <c r="B493" i="22"/>
  <c r="B579" i="22"/>
  <c r="B577" i="22"/>
  <c r="B507" i="22"/>
  <c r="B578" i="22"/>
  <c r="B502" i="22"/>
  <c r="B513" i="22"/>
  <c r="B576" i="22"/>
  <c r="B479" i="22"/>
  <c r="B573" i="22"/>
  <c r="B530" i="22"/>
  <c r="B581" i="22"/>
  <c r="B498" i="22"/>
  <c r="B580" i="22"/>
  <c r="B574" i="22"/>
  <c r="B521" i="22"/>
  <c r="B517" i="22"/>
  <c r="B582" i="22"/>
  <c r="B487" i="22"/>
  <c r="B822" i="22"/>
  <c r="B820" i="22"/>
  <c r="B824" i="22"/>
  <c r="B830" i="22"/>
  <c r="B833" i="22"/>
  <c r="B828" i="22"/>
  <c r="B752" i="22"/>
  <c r="B678" i="22"/>
  <c r="B452" i="22"/>
  <c r="B823" i="22"/>
  <c r="B821" i="22"/>
  <c r="B819" i="22"/>
  <c r="B202" i="22"/>
  <c r="B203" i="22"/>
  <c r="B205" i="22"/>
  <c r="B677" i="22"/>
  <c r="B751" i="22"/>
  <c r="B449" i="22"/>
  <c r="B316" i="22"/>
  <c r="B321" i="22"/>
  <c r="B317" i="22"/>
  <c r="B322" i="22"/>
  <c r="B679" i="22"/>
  <c r="B455" i="22"/>
  <c r="B753" i="22"/>
  <c r="B541" i="22"/>
  <c r="B340" i="22"/>
  <c r="B342" i="22"/>
  <c r="B349" i="22"/>
  <c r="B353" i="22"/>
  <c r="B643" i="22"/>
  <c r="B344" i="22"/>
  <c r="B647" i="22"/>
  <c r="B645" i="22"/>
  <c r="B351" i="22"/>
  <c r="B542" i="22"/>
  <c r="B356" i="22"/>
  <c r="B657" i="22"/>
  <c r="B347" i="22"/>
  <c r="B355" i="22"/>
  <c r="B540" i="22"/>
  <c r="B346" i="22"/>
  <c r="B656" i="22"/>
  <c r="B357" i="22"/>
  <c r="B544" i="22"/>
  <c r="B348" i="22"/>
  <c r="B658" i="22"/>
  <c r="B675" i="22"/>
  <c r="B749" i="22"/>
  <c r="B443" i="22"/>
  <c r="B649" i="22"/>
  <c r="B650" i="22"/>
  <c r="I15" i="20"/>
  <c r="M15" i="20"/>
  <c r="B653" i="22"/>
  <c r="Z15" i="20"/>
  <c r="B692" i="22"/>
  <c r="AH15" i="20"/>
  <c r="B651" i="22"/>
  <c r="W15" i="20"/>
  <c r="B689" i="22"/>
  <c r="B655" i="22"/>
  <c r="B688" i="22"/>
  <c r="B762" i="22"/>
  <c r="R658" i="18"/>
  <c r="N658" i="18"/>
  <c r="B368" i="22"/>
  <c r="P658" i="18"/>
  <c r="Q658" i="18"/>
  <c r="O658" i="18"/>
  <c r="B359" i="22"/>
  <c r="V15" i="20"/>
  <c r="P793" i="18"/>
  <c r="B362" i="22"/>
  <c r="Q793" i="18"/>
  <c r="R793" i="18"/>
  <c r="O793" i="18"/>
  <c r="N793" i="18"/>
  <c r="R657" i="18"/>
  <c r="Q657" i="18"/>
  <c r="P657" i="18"/>
  <c r="O657" i="18"/>
  <c r="N657" i="18"/>
  <c r="B364" i="22"/>
  <c r="B759" i="22"/>
  <c r="O463" i="18"/>
  <c r="Q463" i="18"/>
  <c r="P463" i="18"/>
  <c r="N463" i="18"/>
  <c r="B363" i="22"/>
  <c r="R463" i="18"/>
  <c r="B204" i="22"/>
  <c r="B201" i="22"/>
  <c r="B207" i="22"/>
  <c r="B690" i="22"/>
  <c r="B548" i="22"/>
  <c r="B545" i="22"/>
  <c r="B549" i="22"/>
  <c r="B547" i="22"/>
  <c r="B546" i="22"/>
  <c r="Y15" i="20"/>
  <c r="B652" i="22"/>
  <c r="B654" i="22"/>
  <c r="B758" i="22"/>
  <c r="P232" i="18"/>
  <c r="R232" i="18"/>
  <c r="B361" i="22"/>
  <c r="Q232" i="18"/>
  <c r="O232" i="18"/>
  <c r="N232" i="18"/>
  <c r="B350" i="22"/>
  <c r="B345" i="22"/>
  <c r="B648" i="22"/>
  <c r="B352" i="22"/>
  <c r="B341" i="22"/>
  <c r="B646" i="22"/>
  <c r="B543" i="22"/>
  <c r="B343" i="22"/>
  <c r="B644" i="22"/>
  <c r="B354" i="22"/>
  <c r="P226" i="18"/>
  <c r="N226" i="18"/>
  <c r="Q226" i="18"/>
  <c r="O226" i="18"/>
  <c r="R226" i="18"/>
  <c r="B206" i="22"/>
  <c r="B763" i="22"/>
  <c r="N930" i="18"/>
  <c r="B369" i="22"/>
  <c r="R930" i="18"/>
  <c r="Q930" i="18"/>
  <c r="O930" i="18"/>
  <c r="P930" i="18"/>
  <c r="B761" i="22"/>
  <c r="N794" i="18"/>
  <c r="O794" i="18"/>
  <c r="Q794" i="18"/>
  <c r="R794" i="18"/>
  <c r="B367" i="22"/>
  <c r="P794" i="18"/>
  <c r="B757" i="22"/>
  <c r="Q457" i="18"/>
  <c r="N457" i="18"/>
  <c r="O457" i="18"/>
  <c r="R457" i="18"/>
  <c r="P457" i="18"/>
  <c r="B360" i="22"/>
  <c r="O929" i="18"/>
  <c r="N929" i="18"/>
  <c r="P929" i="18"/>
  <c r="B366" i="22"/>
  <c r="Q929" i="18"/>
  <c r="R929" i="18"/>
  <c r="B461" i="22"/>
  <c r="B459" i="22"/>
  <c r="B564" i="22"/>
  <c r="B562" i="22"/>
  <c r="B565" i="22"/>
  <c r="B568" i="22"/>
  <c r="B566" i="22"/>
  <c r="B463" i="22"/>
  <c r="B467" i="22"/>
  <c r="B567" i="22"/>
  <c r="B465" i="22"/>
  <c r="B563" i="22"/>
  <c r="B469" i="22"/>
  <c r="B471" i="22"/>
  <c r="B760" i="22"/>
  <c r="O238" i="18"/>
  <c r="N238" i="18"/>
  <c r="P238" i="18"/>
  <c r="B365" i="22"/>
  <c r="R238" i="18"/>
  <c r="Q238" i="18"/>
  <c r="N451" i="18"/>
  <c r="Q451" i="18"/>
  <c r="B358" i="22"/>
  <c r="P451" i="18"/>
  <c r="R451" i="18"/>
  <c r="O451" i="18"/>
  <c r="B691" i="22"/>
  <c r="P15" i="20"/>
  <c r="AM15" i="20"/>
  <c r="N15" i="20"/>
  <c r="G15" i="20"/>
  <c r="AE15" i="20"/>
  <c r="AI15" i="20"/>
  <c r="AJ15" i="20"/>
  <c r="AS75" i="23"/>
  <c r="O15" i="20"/>
  <c r="S15" i="20"/>
  <c r="B620" i="22"/>
  <c r="B622" i="22"/>
  <c r="B623" i="22"/>
  <c r="R15" i="20"/>
  <c r="B626" i="22"/>
  <c r="B628" i="22"/>
  <c r="B627" i="22"/>
  <c r="B624" i="22"/>
  <c r="B625" i="22"/>
  <c r="J15" i="20"/>
  <c r="X15" i="20"/>
  <c r="B450" i="22"/>
  <c r="B473" i="22"/>
  <c r="B456" i="22"/>
  <c r="B476" i="22"/>
  <c r="B444" i="22"/>
  <c r="B438" i="22"/>
  <c r="B453" i="22"/>
  <c r="B441" i="22"/>
  <c r="B447" i="22"/>
  <c r="B557" i="22"/>
  <c r="B569" i="22"/>
  <c r="B555" i="22"/>
  <c r="B558" i="22"/>
  <c r="B561" i="22"/>
  <c r="B560" i="22"/>
  <c r="B570" i="22"/>
  <c r="B556" i="22"/>
  <c r="B559" i="22"/>
  <c r="B634" i="22"/>
  <c r="B633" i="22"/>
  <c r="B632" i="22"/>
  <c r="B631" i="22"/>
  <c r="B619" i="22"/>
  <c r="B618" i="22"/>
  <c r="B617" i="22"/>
  <c r="B640" i="22"/>
  <c r="B637" i="22"/>
  <c r="B635" i="22"/>
  <c r="B638" i="22"/>
  <c r="B636" i="22"/>
  <c r="B639" i="22"/>
  <c r="B642" i="22"/>
  <c r="B641" i="22"/>
  <c r="B616" i="22"/>
  <c r="B630" i="22"/>
  <c r="B629" i="22"/>
  <c r="B621" i="22"/>
  <c r="B615" i="22"/>
  <c r="AD15" i="20"/>
  <c r="AC15" i="20"/>
  <c r="K74" i="3"/>
  <c r="K75" i="3"/>
  <c r="BJ35" i="23"/>
  <c r="I12" i="16"/>
  <c r="I32" i="16"/>
  <c r="BD161" i="23"/>
  <c r="I29" i="16"/>
  <c r="AS29" i="23"/>
  <c r="I11" i="16"/>
  <c r="BJ36" i="23"/>
  <c r="I27" i="16"/>
  <c r="I10" i="16"/>
  <c r="I24" i="16"/>
  <c r="AC49" i="23"/>
  <c r="AS11" i="23"/>
  <c r="I23" i="16"/>
  <c r="BJ99" i="23"/>
  <c r="I21" i="16"/>
  <c r="I31" i="16"/>
  <c r="I20" i="16"/>
  <c r="BJ98" i="23"/>
  <c r="BJ34" i="23"/>
  <c r="AX161" i="23"/>
  <c r="I13" i="16"/>
  <c r="I18" i="16"/>
  <c r="I33" i="16"/>
  <c r="BJ161" i="23"/>
  <c r="BJ100" i="23"/>
  <c r="I19" i="16"/>
  <c r="I15" i="16"/>
  <c r="I16" i="16"/>
  <c r="AZ138" i="23"/>
  <c r="BF138" i="23"/>
  <c r="B610" i="22"/>
  <c r="B605" i="22"/>
  <c r="B606" i="22"/>
  <c r="B603" i="22"/>
  <c r="B608" i="22"/>
  <c r="B604" i="22"/>
  <c r="I7" i="16"/>
  <c r="J37" i="3"/>
  <c r="K37" i="3"/>
  <c r="L37" i="3"/>
  <c r="K44" i="3"/>
  <c r="K63" i="3"/>
  <c r="K56" i="3"/>
  <c r="L52" i="3"/>
  <c r="L48" i="3"/>
  <c r="K54" i="3"/>
  <c r="K52" i="3"/>
  <c r="L64" i="3"/>
  <c r="L46" i="3"/>
  <c r="L59" i="3"/>
  <c r="L50" i="3"/>
  <c r="L58" i="3"/>
  <c r="K48" i="3"/>
  <c r="L56" i="3"/>
  <c r="K62" i="3"/>
  <c r="L54" i="3"/>
  <c r="K58" i="3"/>
  <c r="K55" i="3"/>
  <c r="L53" i="3"/>
  <c r="K61" i="3"/>
  <c r="L42" i="3"/>
  <c r="K49" i="3"/>
  <c r="L51" i="3"/>
  <c r="K64" i="3"/>
  <c r="K51" i="3"/>
  <c r="K47" i="3"/>
  <c r="K59" i="3"/>
  <c r="K42" i="3"/>
  <c r="K46" i="3"/>
  <c r="L62" i="3"/>
  <c r="K53" i="3"/>
  <c r="L60" i="3"/>
  <c r="L63" i="3"/>
  <c r="L61" i="3"/>
  <c r="K50" i="3"/>
  <c r="K60" i="3"/>
  <c r="K43" i="3"/>
  <c r="L57" i="3"/>
  <c r="L55" i="3"/>
  <c r="K57" i="3"/>
  <c r="L47" i="3"/>
  <c r="I25" i="16"/>
  <c r="I17" i="16"/>
  <c r="I28" i="16"/>
  <c r="A6" i="2"/>
  <c r="I6" i="2"/>
  <c r="E6" i="2"/>
  <c r="BQ12" i="23"/>
  <c r="Y6" i="2"/>
  <c r="Z6" i="2"/>
  <c r="L6" i="2"/>
  <c r="U6" i="2"/>
  <c r="F6" i="2"/>
  <c r="O6" i="2"/>
  <c r="J6" i="2"/>
  <c r="B6" i="2"/>
  <c r="V6" i="2"/>
  <c r="H6" i="2"/>
  <c r="R6" i="2"/>
  <c r="K6" i="2"/>
  <c r="X6" i="2"/>
  <c r="N6" i="2"/>
  <c r="G6" i="2"/>
  <c r="D6" i="2"/>
  <c r="BP12" i="23"/>
  <c r="Q6" i="2"/>
  <c r="C6" i="2"/>
  <c r="W6" i="2"/>
  <c r="T6" i="2"/>
  <c r="S6" i="2"/>
  <c r="P6" i="2"/>
  <c r="M6" i="2"/>
  <c r="I8" i="16"/>
  <c r="O650" i="18"/>
  <c r="O786" i="18"/>
  <c r="N922" i="18"/>
  <c r="O222" i="18"/>
  <c r="Q222" i="18"/>
  <c r="N652" i="18"/>
  <c r="R650" i="18"/>
  <c r="R922" i="18"/>
  <c r="B724" i="22"/>
  <c r="P650" i="18"/>
  <c r="N220" i="18"/>
  <c r="R652" i="18"/>
  <c r="P922" i="18"/>
  <c r="R447" i="18"/>
  <c r="P924" i="18"/>
  <c r="N786" i="18"/>
  <c r="Q922" i="18"/>
  <c r="P786" i="18"/>
  <c r="O788" i="18"/>
  <c r="P788" i="18"/>
  <c r="Q445" i="18"/>
  <c r="O924" i="18"/>
  <c r="Q650" i="18"/>
  <c r="Q924" i="18"/>
  <c r="Q652" i="18"/>
  <c r="B722" i="22"/>
  <c r="N445" i="18"/>
  <c r="O922" i="18"/>
  <c r="O652" i="18"/>
  <c r="P447" i="18"/>
  <c r="Q447" i="18"/>
  <c r="Q786" i="18"/>
  <c r="R222" i="18"/>
  <c r="N924" i="18"/>
  <c r="N650" i="18"/>
  <c r="N447" i="18"/>
  <c r="R786" i="18"/>
  <c r="R445" i="18"/>
  <c r="N788" i="18"/>
  <c r="P652" i="18"/>
  <c r="B721" i="22"/>
  <c r="P445" i="18"/>
  <c r="N222" i="18"/>
  <c r="Q220" i="18"/>
  <c r="B723" i="22"/>
  <c r="P220" i="18"/>
  <c r="O445" i="18"/>
  <c r="O447" i="18"/>
  <c r="O220" i="18"/>
  <c r="B725" i="22"/>
  <c r="R788" i="18"/>
  <c r="Q788" i="18"/>
  <c r="P222" i="18"/>
  <c r="R220" i="18"/>
  <c r="B401" i="22"/>
  <c r="R924" i="18"/>
  <c r="J22" i="3"/>
  <c r="L22" i="3"/>
  <c r="J44" i="3"/>
  <c r="I9" i="16"/>
  <c r="B209" i="22"/>
  <c r="K156" i="3"/>
  <c r="L156" i="3"/>
  <c r="B701" i="22"/>
  <c r="K155" i="3"/>
  <c r="L155" i="3"/>
  <c r="B695" i="22"/>
  <c r="B700" i="22"/>
  <c r="B696" i="22"/>
  <c r="B699" i="22"/>
  <c r="B208" i="22"/>
  <c r="B698" i="22"/>
  <c r="B694" i="22"/>
  <c r="B702" i="22"/>
  <c r="B693" i="22"/>
  <c r="B697" i="22"/>
  <c r="B535" i="22"/>
  <c r="B539" i="22"/>
  <c r="B537" i="22"/>
  <c r="B536" i="22"/>
  <c r="B538" i="22"/>
  <c r="J52" i="3"/>
  <c r="I64" i="3"/>
  <c r="I48" i="3"/>
  <c r="J43" i="3"/>
  <c r="I46" i="3"/>
  <c r="I53" i="3"/>
  <c r="J57" i="3"/>
  <c r="J63" i="3"/>
  <c r="I52" i="3"/>
  <c r="I51" i="3"/>
  <c r="I60" i="3"/>
  <c r="J62" i="3"/>
  <c r="I47" i="3"/>
  <c r="J42" i="3"/>
  <c r="I57" i="3"/>
  <c r="I55" i="3"/>
  <c r="J50" i="3"/>
  <c r="I56" i="3"/>
  <c r="J55" i="3"/>
  <c r="I44" i="3"/>
  <c r="J47" i="3"/>
  <c r="I43" i="3"/>
  <c r="J51" i="3"/>
  <c r="J64" i="3"/>
  <c r="J59" i="3"/>
  <c r="J58" i="3"/>
  <c r="J48" i="3"/>
  <c r="J46" i="3"/>
  <c r="I63" i="3"/>
  <c r="I42" i="3"/>
  <c r="J53" i="3"/>
  <c r="L49" i="3"/>
  <c r="J61" i="3"/>
  <c r="I59" i="3"/>
  <c r="J54" i="3"/>
  <c r="I54" i="3"/>
  <c r="I61" i="3"/>
  <c r="J60" i="3"/>
  <c r="I49" i="3"/>
  <c r="I58" i="3"/>
  <c r="I50" i="3"/>
  <c r="J49" i="3"/>
  <c r="J56" i="3"/>
  <c r="I62" i="3"/>
  <c r="K19" i="3"/>
  <c r="K17" i="3"/>
  <c r="B331" i="22"/>
  <c r="B335" i="22"/>
  <c r="B332" i="22"/>
  <c r="B329" i="22"/>
  <c r="B334" i="22"/>
  <c r="B328" i="22"/>
  <c r="B333" i="22"/>
  <c r="B338" i="22"/>
  <c r="B339" i="22"/>
  <c r="B336" i="22"/>
  <c r="B330" i="22"/>
  <c r="B337" i="22"/>
  <c r="C5" i="23"/>
  <c r="BO12" i="23"/>
  <c r="K6" i="3"/>
  <c r="BO5" i="23"/>
  <c r="AY132" i="23"/>
  <c r="AY67" i="23"/>
  <c r="F5" i="20"/>
  <c r="I17" i="18"/>
  <c r="AB5" i="23"/>
  <c r="P17" i="3"/>
  <c r="AY3" i="23"/>
  <c r="BN12" i="23"/>
  <c r="T25" i="11" l="1"/>
  <c r="D45" i="11" a="1"/>
  <c r="H45" i="11" l="1"/>
  <c r="L45" i="11"/>
  <c r="P45" i="11"/>
  <c r="T45" i="11"/>
  <c r="X45" i="11"/>
  <c r="AB45" i="11"/>
  <c r="AF45" i="11"/>
  <c r="AJ45" i="11"/>
  <c r="E45" i="11"/>
  <c r="I45" i="11"/>
  <c r="M45" i="11"/>
  <c r="Q45" i="11"/>
  <c r="U45" i="11"/>
  <c r="Y45" i="11"/>
  <c r="AC45" i="11"/>
  <c r="AG45" i="11"/>
  <c r="D45" i="11"/>
  <c r="F45" i="11"/>
  <c r="J45" i="11"/>
  <c r="N45" i="11"/>
  <c r="R45" i="11"/>
  <c r="V45" i="11"/>
  <c r="Z45" i="11"/>
  <c r="AD45" i="11"/>
  <c r="AH45" i="11"/>
  <c r="K45" i="11"/>
  <c r="AA45" i="11"/>
  <c r="O45" i="11"/>
  <c r="AE45" i="11"/>
  <c r="S45" i="11"/>
  <c r="AI45" i="11"/>
  <c r="G45" i="11"/>
  <c r="W45" i="11"/>
  <c r="AJ57" i="11" l="1"/>
  <c r="AJ60" i="11"/>
  <c r="AJ64" i="11"/>
  <c r="AJ56" i="11"/>
  <c r="AJ63" i="11"/>
  <c r="AJ66" i="11"/>
  <c r="AJ67" i="11"/>
  <c r="AJ69" i="11"/>
  <c r="AJ71" i="11"/>
  <c r="AJ73" i="11"/>
  <c r="AJ75" i="11"/>
  <c r="AJ77" i="11"/>
  <c r="AJ79" i="11"/>
  <c r="AJ81" i="11"/>
  <c r="AJ59" i="11"/>
  <c r="AJ68" i="11"/>
  <c r="AJ72" i="11"/>
  <c r="AJ76" i="11"/>
  <c r="AJ80" i="11"/>
  <c r="AJ58" i="11"/>
  <c r="AJ62" i="11"/>
  <c r="AJ55" i="11"/>
  <c r="AJ65" i="11"/>
  <c r="AJ61" i="11"/>
  <c r="AJ70" i="11"/>
  <c r="AJ74" i="11"/>
  <c r="AJ84" i="11"/>
  <c r="AL48" i="23"/>
  <c r="AL45" i="23" s="1"/>
  <c r="BH147" i="23" s="1"/>
  <c r="AJ83" i="11"/>
  <c r="AJ94" i="11"/>
  <c r="AJ50" i="11"/>
  <c r="AJ82" i="11"/>
  <c r="AJ86" i="11"/>
  <c r="K47" i="23"/>
  <c r="AK48" i="23"/>
  <c r="AK44" i="23" s="1"/>
  <c r="AG48" i="23"/>
  <c r="BJ151" i="23" s="1"/>
  <c r="AJ78" i="11"/>
  <c r="AJ85" i="11"/>
  <c r="AJ49" i="11"/>
  <c r="AJ48" i="11" s="1"/>
  <c r="CX12" i="23"/>
  <c r="AJ46" i="11"/>
  <c r="BJ144" i="23"/>
  <c r="AI59" i="11"/>
  <c r="AI61" i="11"/>
  <c r="AI63" i="11"/>
  <c r="AI65" i="11"/>
  <c r="AI56" i="11"/>
  <c r="AI58" i="11"/>
  <c r="AI62" i="11"/>
  <c r="AI55" i="11"/>
  <c r="AI66" i="11"/>
  <c r="AI87" i="11"/>
  <c r="AI60" i="11"/>
  <c r="AI67" i="11"/>
  <c r="AI69" i="11"/>
  <c r="AI71" i="11"/>
  <c r="AI73" i="11"/>
  <c r="AI75" i="11"/>
  <c r="AI77" i="11"/>
  <c r="AI79" i="11"/>
  <c r="AI81" i="11"/>
  <c r="AI83" i="11"/>
  <c r="AI68" i="11"/>
  <c r="AI72" i="11"/>
  <c r="AI76" i="11"/>
  <c r="AI80" i="11"/>
  <c r="AI57" i="11"/>
  <c r="AI64" i="11"/>
  <c r="AI70" i="11"/>
  <c r="AI74" i="11"/>
  <c r="AI94" i="11"/>
  <c r="AI82" i="11"/>
  <c r="K35" i="23"/>
  <c r="AI78" i="11"/>
  <c r="AI50" i="11"/>
  <c r="AI85" i="11"/>
  <c r="AN46" i="23"/>
  <c r="AG47" i="23"/>
  <c r="BG164" i="23" s="1"/>
  <c r="AN47" i="23"/>
  <c r="AI84" i="11"/>
  <c r="BF159" i="23"/>
  <c r="AI49" i="11"/>
  <c r="AI46" i="11"/>
  <c r="CW12" i="23"/>
  <c r="Z57" i="11"/>
  <c r="Z60" i="11"/>
  <c r="Z64" i="11"/>
  <c r="Z58" i="11"/>
  <c r="Z62" i="11"/>
  <c r="Z66" i="11"/>
  <c r="Z55" i="11"/>
  <c r="Z59" i="11"/>
  <c r="Z61" i="11"/>
  <c r="Z63" i="11"/>
  <c r="Z65" i="11"/>
  <c r="Z67" i="11"/>
  <c r="Z69" i="11"/>
  <c r="Z71" i="11"/>
  <c r="Z73" i="11"/>
  <c r="Z75" i="11"/>
  <c r="Z83" i="11"/>
  <c r="Z68" i="11"/>
  <c r="Z72" i="11"/>
  <c r="Z76" i="11"/>
  <c r="Z84" i="11"/>
  <c r="Z85" i="11"/>
  <c r="Z56" i="11"/>
  <c r="Z78" i="11"/>
  <c r="Z86" i="11"/>
  <c r="Z79" i="11"/>
  <c r="Z87" i="11"/>
  <c r="Z70" i="11"/>
  <c r="Z74" i="11"/>
  <c r="Z82" i="11"/>
  <c r="Z81" i="11"/>
  <c r="Z94" i="11"/>
  <c r="AK36" i="23"/>
  <c r="AK32" i="23" s="1"/>
  <c r="AG36" i="23"/>
  <c r="AX151" i="23" s="1"/>
  <c r="G47" i="23"/>
  <c r="AL36" i="23"/>
  <c r="AL33" i="23" s="1"/>
  <c r="AV147" i="23" s="1"/>
  <c r="Z50" i="11"/>
  <c r="Z49" i="11"/>
  <c r="Z48" i="11" s="1"/>
  <c r="AX144" i="23"/>
  <c r="Z80" i="11"/>
  <c r="Z46" i="11"/>
  <c r="CN12" i="23"/>
  <c r="AC59" i="11"/>
  <c r="AC61" i="11"/>
  <c r="AC63" i="11"/>
  <c r="AC55" i="11"/>
  <c r="AC57" i="11"/>
  <c r="AC60" i="11"/>
  <c r="AC64" i="11"/>
  <c r="AC56" i="11"/>
  <c r="AC58" i="11"/>
  <c r="AC62" i="11"/>
  <c r="AC66" i="11"/>
  <c r="AC70" i="11"/>
  <c r="AC74" i="11"/>
  <c r="AC78" i="11"/>
  <c r="AC85" i="11"/>
  <c r="AC86" i="11"/>
  <c r="AC65" i="11"/>
  <c r="AC87" i="11"/>
  <c r="AC67" i="11"/>
  <c r="AC69" i="11"/>
  <c r="AC71" i="11"/>
  <c r="AC73" i="11"/>
  <c r="AC75" i="11"/>
  <c r="AC77" i="11"/>
  <c r="AC79" i="11"/>
  <c r="AC68" i="11"/>
  <c r="AC72" i="11"/>
  <c r="AC76" i="11"/>
  <c r="AE40" i="23"/>
  <c r="AY157" i="23" s="1"/>
  <c r="AC81" i="11"/>
  <c r="AG40" i="23"/>
  <c r="BB158" i="23" s="1"/>
  <c r="AC82" i="11"/>
  <c r="AC94" i="11"/>
  <c r="AM40" i="23"/>
  <c r="I31" i="23"/>
  <c r="AC83" i="11"/>
  <c r="AC84" i="11"/>
  <c r="AM41" i="23"/>
  <c r="AC50" i="11"/>
  <c r="AC49" i="11"/>
  <c r="AZ153" i="23"/>
  <c r="AF58" i="11"/>
  <c r="AF62" i="11"/>
  <c r="AF59" i="11"/>
  <c r="AF61" i="11"/>
  <c r="AF63" i="11"/>
  <c r="AF56" i="11"/>
  <c r="AF60" i="11"/>
  <c r="AF55" i="11"/>
  <c r="AF65" i="11"/>
  <c r="AF70" i="11"/>
  <c r="AF74" i="11"/>
  <c r="AF78" i="11"/>
  <c r="AF57" i="11"/>
  <c r="AF64" i="11"/>
  <c r="AF68" i="11"/>
  <c r="AF72" i="11"/>
  <c r="AF76" i="11"/>
  <c r="AF81" i="11"/>
  <c r="AG44" i="23"/>
  <c r="BG141" i="23" s="1"/>
  <c r="AF80" i="11"/>
  <c r="AH45" i="23"/>
  <c r="AF67" i="11"/>
  <c r="AF79" i="11"/>
  <c r="AF84" i="11"/>
  <c r="AF85" i="11"/>
  <c r="AJ48" i="23"/>
  <c r="AF69" i="11"/>
  <c r="AF75" i="11"/>
  <c r="AF86" i="11"/>
  <c r="AF66" i="11"/>
  <c r="AF71" i="11"/>
  <c r="AF73" i="11"/>
  <c r="AF87" i="11"/>
  <c r="AF77" i="11"/>
  <c r="AF94" i="11"/>
  <c r="K11" i="23"/>
  <c r="AF50" i="11"/>
  <c r="AF82" i="11"/>
  <c r="AF46" i="11"/>
  <c r="AE44" i="23"/>
  <c r="BE136" i="23" s="1"/>
  <c r="AF44" i="23"/>
  <c r="BG136" i="23" s="1"/>
  <c r="AF49" i="11"/>
  <c r="AF48" i="11" s="1"/>
  <c r="CT12" i="23"/>
  <c r="AG56" i="11"/>
  <c r="AG55" i="11"/>
  <c r="AG58" i="11"/>
  <c r="AG62" i="11"/>
  <c r="AG57" i="11"/>
  <c r="AG60" i="11"/>
  <c r="AG64" i="11"/>
  <c r="AG63" i="11"/>
  <c r="AG68" i="11"/>
  <c r="AG72" i="11"/>
  <c r="AG76" i="11"/>
  <c r="AG80" i="11"/>
  <c r="AG59" i="11"/>
  <c r="AG65" i="11"/>
  <c r="AG70" i="11"/>
  <c r="AG74" i="11"/>
  <c r="AG78" i="11"/>
  <c r="AG66" i="11"/>
  <c r="AG67" i="11"/>
  <c r="AG69" i="11"/>
  <c r="AG71" i="11"/>
  <c r="AG73" i="11"/>
  <c r="AG75" i="11"/>
  <c r="AG77" i="11"/>
  <c r="AG82" i="11"/>
  <c r="AG83" i="11"/>
  <c r="K27" i="23"/>
  <c r="AG81" i="11"/>
  <c r="AG85" i="11"/>
  <c r="AG86" i="11"/>
  <c r="AI45" i="23"/>
  <c r="AI44" i="23" s="1"/>
  <c r="AE45" i="23"/>
  <c r="BE147" i="23" s="1"/>
  <c r="AG61" i="11"/>
  <c r="AG79" i="11"/>
  <c r="AG87" i="11"/>
  <c r="AG45" i="23"/>
  <c r="BH152" i="23" s="1"/>
  <c r="AD46" i="23"/>
  <c r="AG50" i="11"/>
  <c r="AG46" i="11"/>
  <c r="AG94" i="11"/>
  <c r="AH46" i="11"/>
  <c r="CU12" i="23"/>
  <c r="BF155" i="23"/>
  <c r="BG145" i="23"/>
  <c r="AG49" i="11"/>
  <c r="S59" i="11"/>
  <c r="S61" i="11"/>
  <c r="S63" i="11"/>
  <c r="S65" i="11"/>
  <c r="S56" i="11"/>
  <c r="S58" i="11"/>
  <c r="S62" i="11"/>
  <c r="S55" i="11"/>
  <c r="S71" i="11"/>
  <c r="S79" i="11"/>
  <c r="S87" i="11"/>
  <c r="S57" i="11"/>
  <c r="S64" i="11"/>
  <c r="S67" i="11"/>
  <c r="S69" i="11"/>
  <c r="S72" i="11"/>
  <c r="S80" i="11"/>
  <c r="S68" i="11"/>
  <c r="S73" i="11"/>
  <c r="S81" i="11"/>
  <c r="S74" i="11"/>
  <c r="S82" i="11"/>
  <c r="S66" i="11"/>
  <c r="S75" i="11"/>
  <c r="S83" i="11"/>
  <c r="S60" i="11"/>
  <c r="S76" i="11"/>
  <c r="S84" i="11"/>
  <c r="S78" i="11"/>
  <c r="S86" i="11"/>
  <c r="AK28" i="23"/>
  <c r="AG28" i="23"/>
  <c r="BD91" i="23" s="1"/>
  <c r="S94" i="11"/>
  <c r="S77" i="11"/>
  <c r="S85" i="11"/>
  <c r="AL28" i="23"/>
  <c r="S50" i="11"/>
  <c r="E39" i="23"/>
  <c r="CG12" i="23"/>
  <c r="S49" i="11"/>
  <c r="S46" i="11"/>
  <c r="V58" i="11"/>
  <c r="V62" i="11"/>
  <c r="V59" i="11"/>
  <c r="V61" i="11"/>
  <c r="V63" i="11"/>
  <c r="V65" i="11"/>
  <c r="V57" i="11"/>
  <c r="V60" i="11"/>
  <c r="V64" i="11"/>
  <c r="V55" i="11"/>
  <c r="V56" i="11"/>
  <c r="V79" i="11"/>
  <c r="V87" i="11"/>
  <c r="V70" i="11"/>
  <c r="V80" i="11"/>
  <c r="V81" i="11"/>
  <c r="V74" i="11"/>
  <c r="V82" i="11"/>
  <c r="V67" i="11"/>
  <c r="V69" i="11"/>
  <c r="V71" i="11"/>
  <c r="V75" i="11"/>
  <c r="V83" i="11"/>
  <c r="V68" i="11"/>
  <c r="V72" i="11"/>
  <c r="V76" i="11"/>
  <c r="V84" i="11"/>
  <c r="V78" i="11"/>
  <c r="V86" i="11"/>
  <c r="AD44" i="23"/>
  <c r="AE32" i="23"/>
  <c r="AS136" i="23" s="1"/>
  <c r="AF32" i="23"/>
  <c r="AU136" i="23" s="1"/>
  <c r="AD38" i="23"/>
  <c r="G11" i="23"/>
  <c r="V66" i="11"/>
  <c r="V94" i="11"/>
  <c r="AG32" i="23"/>
  <c r="AU141" i="23" s="1"/>
  <c r="V50" i="11"/>
  <c r="AH33" i="23"/>
  <c r="V77" i="11"/>
  <c r="AJ36" i="23"/>
  <c r="V85" i="11"/>
  <c r="V49" i="11"/>
  <c r="V48" i="11" s="1"/>
  <c r="V46" i="11"/>
  <c r="CJ12" i="23"/>
  <c r="Y56" i="11"/>
  <c r="Y55" i="11"/>
  <c r="Y58" i="11"/>
  <c r="Y62" i="11"/>
  <c r="Y57" i="11"/>
  <c r="Y60" i="11"/>
  <c r="Y64" i="11"/>
  <c r="Y59" i="11"/>
  <c r="Y65" i="11"/>
  <c r="Y68" i="11"/>
  <c r="Y72" i="11"/>
  <c r="Y81" i="11"/>
  <c r="Y66" i="11"/>
  <c r="Y82" i="11"/>
  <c r="Y83" i="11"/>
  <c r="Y84" i="11"/>
  <c r="Y61" i="11"/>
  <c r="Y70" i="11"/>
  <c r="Y74" i="11"/>
  <c r="Y77" i="11"/>
  <c r="Y85" i="11"/>
  <c r="Y67" i="11"/>
  <c r="Y69" i="11"/>
  <c r="Y71" i="11"/>
  <c r="Y73" i="11"/>
  <c r="Y75" i="11"/>
  <c r="Y80" i="11"/>
  <c r="Y50" i="11"/>
  <c r="Y78" i="11"/>
  <c r="Y79" i="11"/>
  <c r="AN34" i="23"/>
  <c r="AG35" i="23"/>
  <c r="AU164" i="23" s="1"/>
  <c r="Y86" i="11"/>
  <c r="AN35" i="23"/>
  <c r="Y87" i="11"/>
  <c r="Y63" i="11"/>
  <c r="G35" i="23"/>
  <c r="Y46" i="11"/>
  <c r="Y94" i="11"/>
  <c r="CM12" i="23"/>
  <c r="Y49" i="11"/>
  <c r="AT159" i="23"/>
  <c r="AB57" i="11"/>
  <c r="AB60" i="11"/>
  <c r="AB64" i="11"/>
  <c r="AB56" i="11"/>
  <c r="AB85" i="11"/>
  <c r="AB55" i="11"/>
  <c r="AB59" i="11"/>
  <c r="AB65" i="11"/>
  <c r="AB86" i="11"/>
  <c r="AB58" i="11"/>
  <c r="AB62" i="11"/>
  <c r="AB67" i="11"/>
  <c r="AB69" i="11"/>
  <c r="AB71" i="11"/>
  <c r="AB73" i="11"/>
  <c r="AB75" i="11"/>
  <c r="AB77" i="11"/>
  <c r="AB87" i="11"/>
  <c r="AB66" i="11"/>
  <c r="AB68" i="11"/>
  <c r="AB72" i="11"/>
  <c r="AB76" i="11"/>
  <c r="AB80" i="11"/>
  <c r="AB81" i="11"/>
  <c r="AB61" i="11"/>
  <c r="AB63" i="11"/>
  <c r="AB70" i="11"/>
  <c r="AB74" i="11"/>
  <c r="AB78" i="11"/>
  <c r="AB94" i="11"/>
  <c r="I27" i="23"/>
  <c r="AB82" i="11"/>
  <c r="AI39" i="23"/>
  <c r="AI38" i="23" s="1"/>
  <c r="AE39" i="23"/>
  <c r="AY147" i="23" s="1"/>
  <c r="AB83" i="11"/>
  <c r="AG39" i="23"/>
  <c r="BB152" i="23" s="1"/>
  <c r="AB84" i="11"/>
  <c r="AC46" i="11"/>
  <c r="AB49" i="11"/>
  <c r="AB50" i="11"/>
  <c r="AB46" i="11"/>
  <c r="BA145" i="23"/>
  <c r="AD40" i="23"/>
  <c r="CP12" i="23"/>
  <c r="AZ155" i="23"/>
  <c r="AE59" i="11"/>
  <c r="AE61" i="11"/>
  <c r="AE63" i="11"/>
  <c r="AE65" i="11"/>
  <c r="AE57" i="11"/>
  <c r="AE60" i="11"/>
  <c r="AE64" i="11"/>
  <c r="AE55" i="11"/>
  <c r="AE83" i="11"/>
  <c r="AE84" i="11"/>
  <c r="AE70" i="11"/>
  <c r="AE74" i="11"/>
  <c r="AE78" i="11"/>
  <c r="AE85" i="11"/>
  <c r="AE58" i="11"/>
  <c r="AE62" i="11"/>
  <c r="AE56" i="11"/>
  <c r="AE66" i="11"/>
  <c r="AE67" i="11"/>
  <c r="AE69" i="11"/>
  <c r="AE71" i="11"/>
  <c r="AE73" i="11"/>
  <c r="AE75" i="11"/>
  <c r="AE76" i="11"/>
  <c r="AE80" i="11"/>
  <c r="AE72" i="11"/>
  <c r="AE79" i="11"/>
  <c r="AL42" i="23"/>
  <c r="AL39" i="23" s="1"/>
  <c r="BB147" i="23" s="1"/>
  <c r="AE86" i="11"/>
  <c r="AE50" i="11"/>
  <c r="AE77" i="11"/>
  <c r="AE87" i="11"/>
  <c r="AE94" i="11"/>
  <c r="I47" i="23"/>
  <c r="AK42" i="23"/>
  <c r="AK38" i="23" s="1"/>
  <c r="AG42" i="23"/>
  <c r="AE68" i="11"/>
  <c r="AE81" i="11"/>
  <c r="AE49" i="11"/>
  <c r="AE48" i="11" s="1"/>
  <c r="CS12" i="23"/>
  <c r="BD144" i="23"/>
  <c r="AE46" i="11"/>
  <c r="R57" i="11"/>
  <c r="R60" i="11"/>
  <c r="R64" i="11"/>
  <c r="R58" i="11"/>
  <c r="R62" i="11"/>
  <c r="R66" i="11"/>
  <c r="R55" i="11"/>
  <c r="R59" i="11"/>
  <c r="R61" i="11"/>
  <c r="R63" i="11"/>
  <c r="R65" i="11"/>
  <c r="R67" i="11"/>
  <c r="R75" i="11"/>
  <c r="R83" i="11"/>
  <c r="R56" i="11"/>
  <c r="R68" i="11"/>
  <c r="R76" i="11"/>
  <c r="R84" i="11"/>
  <c r="R77" i="11"/>
  <c r="R85" i="11"/>
  <c r="R70" i="11"/>
  <c r="R78" i="11"/>
  <c r="R86" i="11"/>
  <c r="R71" i="11"/>
  <c r="R79" i="11"/>
  <c r="R87" i="11"/>
  <c r="R72" i="11"/>
  <c r="R80" i="11"/>
  <c r="R74" i="11"/>
  <c r="R82" i="11"/>
  <c r="R94" i="11"/>
  <c r="R50" i="11"/>
  <c r="AG27" i="23"/>
  <c r="AU108" i="23" s="1"/>
  <c r="AN27" i="23"/>
  <c r="AU104" i="23" s="1"/>
  <c r="AN25" i="23"/>
  <c r="R73" i="11"/>
  <c r="R81" i="11"/>
  <c r="CF12" i="23"/>
  <c r="R46" i="11"/>
  <c r="R49" i="11"/>
  <c r="E35" i="23"/>
  <c r="U59" i="11"/>
  <c r="U61" i="11"/>
  <c r="U63" i="11"/>
  <c r="U55" i="11"/>
  <c r="U57" i="11"/>
  <c r="U60" i="11"/>
  <c r="U64" i="11"/>
  <c r="U56" i="11"/>
  <c r="U58" i="11"/>
  <c r="U62" i="11"/>
  <c r="U66" i="11"/>
  <c r="U70" i="11"/>
  <c r="U77" i="11"/>
  <c r="U85" i="11"/>
  <c r="U78" i="11"/>
  <c r="U86" i="11"/>
  <c r="U79" i="11"/>
  <c r="U87" i="11"/>
  <c r="U67" i="11"/>
  <c r="U69" i="11"/>
  <c r="U71" i="11"/>
  <c r="U80" i="11"/>
  <c r="U68" i="11"/>
  <c r="U73" i="11"/>
  <c r="U81" i="11"/>
  <c r="U74" i="11"/>
  <c r="U82" i="11"/>
  <c r="U76" i="11"/>
  <c r="U84" i="11"/>
  <c r="U50" i="11"/>
  <c r="E47" i="23"/>
  <c r="U65" i="11"/>
  <c r="U75" i="11"/>
  <c r="AK30" i="23"/>
  <c r="BF84" i="23" s="1"/>
  <c r="AG30" i="23"/>
  <c r="BF91" i="23" s="1"/>
  <c r="U83" i="11"/>
  <c r="U94" i="11"/>
  <c r="AL30" i="23"/>
  <c r="U49" i="11"/>
  <c r="U48" i="11" s="1"/>
  <c r="U46" i="11"/>
  <c r="CI12" i="23"/>
  <c r="X58" i="11"/>
  <c r="X62" i="11"/>
  <c r="X59" i="11"/>
  <c r="X61" i="11"/>
  <c r="X63" i="11"/>
  <c r="X56" i="11"/>
  <c r="X66" i="11"/>
  <c r="X81" i="11"/>
  <c r="X82" i="11"/>
  <c r="X57" i="11"/>
  <c r="X64" i="11"/>
  <c r="X83" i="11"/>
  <c r="X70" i="11"/>
  <c r="X74" i="11"/>
  <c r="X76" i="11"/>
  <c r="X84" i="11"/>
  <c r="X77" i="11"/>
  <c r="X85" i="11"/>
  <c r="X78" i="11"/>
  <c r="X86" i="11"/>
  <c r="X55" i="11"/>
  <c r="X65" i="11"/>
  <c r="X68" i="11"/>
  <c r="X72" i="11"/>
  <c r="X80" i="11"/>
  <c r="X60" i="11"/>
  <c r="X67" i="11"/>
  <c r="X69" i="11"/>
  <c r="AE34" i="23"/>
  <c r="AS157" i="23" s="1"/>
  <c r="X71" i="11"/>
  <c r="X73" i="11"/>
  <c r="AG34" i="23"/>
  <c r="AV158" i="23" s="1"/>
  <c r="X79" i="11"/>
  <c r="AM34" i="23"/>
  <c r="X87" i="11"/>
  <c r="X94" i="11"/>
  <c r="G31" i="23"/>
  <c r="AT153" i="23"/>
  <c r="X49" i="11"/>
  <c r="X50" i="11"/>
  <c r="AM35" i="23"/>
  <c r="AD58" i="11"/>
  <c r="AD62" i="11"/>
  <c r="AD59" i="11"/>
  <c r="AD61" i="11"/>
  <c r="AD63" i="11"/>
  <c r="AD65" i="11"/>
  <c r="AD57" i="11"/>
  <c r="AD60" i="11"/>
  <c r="AD64" i="11"/>
  <c r="AD55" i="11"/>
  <c r="AD56" i="11"/>
  <c r="AD87" i="11"/>
  <c r="AD70" i="11"/>
  <c r="AD74" i="11"/>
  <c r="AD78" i="11"/>
  <c r="AD66" i="11"/>
  <c r="AD67" i="11"/>
  <c r="AD69" i="11"/>
  <c r="AD71" i="11"/>
  <c r="AD73" i="11"/>
  <c r="AD75" i="11"/>
  <c r="AD77" i="11"/>
  <c r="AD79" i="11"/>
  <c r="AD68" i="11"/>
  <c r="AD72" i="11"/>
  <c r="AN40" i="23"/>
  <c r="AG41" i="23"/>
  <c r="BA164" i="23" s="1"/>
  <c r="AN41" i="23"/>
  <c r="AD82" i="11"/>
  <c r="AD83" i="11"/>
  <c r="AD84" i="11"/>
  <c r="AD94" i="11"/>
  <c r="I35" i="23"/>
  <c r="AD85" i="11"/>
  <c r="AD86" i="11"/>
  <c r="AD50" i="11"/>
  <c r="AD80" i="11"/>
  <c r="CR12" i="23"/>
  <c r="AZ159" i="23"/>
  <c r="AD49" i="11"/>
  <c r="AD46" i="11"/>
  <c r="AD76" i="11"/>
  <c r="O59" i="11"/>
  <c r="O61" i="11"/>
  <c r="O63" i="11"/>
  <c r="O65" i="11"/>
  <c r="O72" i="11"/>
  <c r="O57" i="11"/>
  <c r="O60" i="11"/>
  <c r="O64" i="11"/>
  <c r="O55" i="11"/>
  <c r="O67" i="11"/>
  <c r="O56" i="11"/>
  <c r="O75" i="11"/>
  <c r="O83" i="11"/>
  <c r="O76" i="11"/>
  <c r="O84" i="11"/>
  <c r="O68" i="11"/>
  <c r="O77" i="11"/>
  <c r="O85" i="11"/>
  <c r="O69" i="11"/>
  <c r="O78" i="11"/>
  <c r="O86" i="11"/>
  <c r="O70" i="11"/>
  <c r="O79" i="11"/>
  <c r="O87" i="11"/>
  <c r="O71" i="11"/>
  <c r="O80" i="11"/>
  <c r="O62" i="11"/>
  <c r="O74" i="11"/>
  <c r="O82" i="11"/>
  <c r="AM24" i="23"/>
  <c r="AM26" i="23"/>
  <c r="AD23" i="23"/>
  <c r="E19" i="23"/>
  <c r="O94" i="11"/>
  <c r="AI24" i="23"/>
  <c r="O73" i="11"/>
  <c r="AE24" i="23"/>
  <c r="AS89" i="23" s="1"/>
  <c r="O50" i="11"/>
  <c r="O81" i="11"/>
  <c r="AG24" i="23"/>
  <c r="AX95" i="23" s="1"/>
  <c r="CC12" i="23"/>
  <c r="O46" i="11"/>
  <c r="O49" i="11"/>
  <c r="O48" i="11" s="1"/>
  <c r="N62" i="11"/>
  <c r="N72" i="11"/>
  <c r="N80" i="11"/>
  <c r="N59" i="11"/>
  <c r="N61" i="11"/>
  <c r="N63" i="11"/>
  <c r="N67" i="11"/>
  <c r="N75" i="11"/>
  <c r="N83" i="11"/>
  <c r="N57" i="11"/>
  <c r="N60" i="11"/>
  <c r="N64" i="11"/>
  <c r="N68" i="11"/>
  <c r="N76" i="11"/>
  <c r="N84" i="11"/>
  <c r="N55" i="11"/>
  <c r="N56" i="11"/>
  <c r="N71" i="11"/>
  <c r="N79" i="11"/>
  <c r="N87" i="11"/>
  <c r="N70" i="11"/>
  <c r="N86" i="11"/>
  <c r="N73" i="11"/>
  <c r="N74" i="11"/>
  <c r="N77" i="11"/>
  <c r="N78" i="11"/>
  <c r="N81" i="11"/>
  <c r="N58" i="11"/>
  <c r="N69" i="11"/>
  <c r="N85" i="11"/>
  <c r="AG23" i="23"/>
  <c r="BA91" i="23" s="1"/>
  <c r="N66" i="11"/>
  <c r="E15" i="23"/>
  <c r="N82" i="11"/>
  <c r="AD24" i="23"/>
  <c r="N94" i="11"/>
  <c r="AI23" i="23"/>
  <c r="AE23" i="23"/>
  <c r="AS88" i="23" s="1"/>
  <c r="N50" i="11"/>
  <c r="N49" i="11"/>
  <c r="N48" i="11" s="1"/>
  <c r="CB12" i="23"/>
  <c r="Q56" i="11"/>
  <c r="Q55" i="11"/>
  <c r="Q58" i="11"/>
  <c r="Q62" i="11"/>
  <c r="Q57" i="11"/>
  <c r="Q60" i="11"/>
  <c r="Q64" i="11"/>
  <c r="Q73" i="11"/>
  <c r="Q81" i="11"/>
  <c r="Q74" i="11"/>
  <c r="Q82" i="11"/>
  <c r="Q61" i="11"/>
  <c r="Q75" i="11"/>
  <c r="Q83" i="11"/>
  <c r="Q66" i="11"/>
  <c r="Q76" i="11"/>
  <c r="Q84" i="11"/>
  <c r="Q63" i="11"/>
  <c r="Q65" i="11"/>
  <c r="Q69" i="11"/>
  <c r="Q77" i="11"/>
  <c r="Q85" i="11"/>
  <c r="Q70" i="11"/>
  <c r="Q78" i="11"/>
  <c r="Q86" i="11"/>
  <c r="Q67" i="11"/>
  <c r="Q72" i="11"/>
  <c r="Q80" i="11"/>
  <c r="Q71" i="11"/>
  <c r="Q79" i="11"/>
  <c r="Q87" i="11"/>
  <c r="Q50" i="11"/>
  <c r="AG26" i="23"/>
  <c r="AX99" i="23" s="1"/>
  <c r="E23" i="23"/>
  <c r="AN24" i="23"/>
  <c r="AN26" i="23"/>
  <c r="AY96" i="23" s="1"/>
  <c r="Q49" i="11"/>
  <c r="Q48" i="11" s="1"/>
  <c r="Q94" i="11"/>
  <c r="Q59" i="11"/>
  <c r="Q46" i="11"/>
  <c r="CE12" i="23"/>
  <c r="T57" i="11"/>
  <c r="T60" i="11"/>
  <c r="T56" i="11"/>
  <c r="T58" i="11"/>
  <c r="T62" i="11"/>
  <c r="T77" i="11"/>
  <c r="T85" i="11"/>
  <c r="T78" i="11"/>
  <c r="T86" i="11"/>
  <c r="T67" i="11"/>
  <c r="T69" i="11"/>
  <c r="T79" i="11"/>
  <c r="T87" i="11"/>
  <c r="T61" i="11"/>
  <c r="T68" i="11"/>
  <c r="T72" i="11"/>
  <c r="T80" i="11"/>
  <c r="T73" i="11"/>
  <c r="T81" i="11"/>
  <c r="T55" i="11"/>
  <c r="T63" i="11"/>
  <c r="T65" i="11"/>
  <c r="T66" i="11"/>
  <c r="T74" i="11"/>
  <c r="T82" i="11"/>
  <c r="T59" i="11"/>
  <c r="T70" i="11"/>
  <c r="T76" i="11"/>
  <c r="T84" i="11"/>
  <c r="AK29" i="23"/>
  <c r="BH84" i="23" s="1"/>
  <c r="T94" i="11"/>
  <c r="T50" i="11"/>
  <c r="AL29" i="23"/>
  <c r="AG29" i="23"/>
  <c r="BH91" i="23" s="1"/>
  <c r="T75" i="11"/>
  <c r="E43" i="23"/>
  <c r="T83" i="11"/>
  <c r="T46" i="11"/>
  <c r="CH12" i="23"/>
  <c r="T49" i="11"/>
  <c r="T64" i="11"/>
  <c r="AA59" i="11"/>
  <c r="AA61" i="11"/>
  <c r="AA63" i="11"/>
  <c r="AA65" i="11"/>
  <c r="AA56" i="11"/>
  <c r="AA58" i="11"/>
  <c r="AA62" i="11"/>
  <c r="AA55" i="11"/>
  <c r="AA79" i="11"/>
  <c r="AA87" i="11"/>
  <c r="AA67" i="11"/>
  <c r="AA69" i="11"/>
  <c r="AA71" i="11"/>
  <c r="AA73" i="11"/>
  <c r="AA75" i="11"/>
  <c r="AA77" i="11"/>
  <c r="AA80" i="11"/>
  <c r="AA66" i="11"/>
  <c r="AA68" i="11"/>
  <c r="AA72" i="11"/>
  <c r="AA76" i="11"/>
  <c r="AA81" i="11"/>
  <c r="AA57" i="11"/>
  <c r="AA64" i="11"/>
  <c r="AA82" i="11"/>
  <c r="AA83" i="11"/>
  <c r="AA60" i="11"/>
  <c r="AA70" i="11"/>
  <c r="AA74" i="11"/>
  <c r="AA86" i="11"/>
  <c r="AE38" i="23"/>
  <c r="AY136" i="23" s="1"/>
  <c r="AA94" i="11"/>
  <c r="AF38" i="23"/>
  <c r="BA136" i="23" s="1"/>
  <c r="I11" i="23"/>
  <c r="AG38" i="23"/>
  <c r="BA141" i="23" s="1"/>
  <c r="AH39" i="23"/>
  <c r="AA50" i="11"/>
  <c r="AJ42" i="23"/>
  <c r="AA84" i="11"/>
  <c r="AA85" i="11"/>
  <c r="AA49" i="11"/>
  <c r="AA48" i="11" s="1"/>
  <c r="CO12" i="23"/>
  <c r="AA46" i="11"/>
  <c r="J57" i="11"/>
  <c r="J60" i="11"/>
  <c r="J68" i="11"/>
  <c r="J76" i="11"/>
  <c r="J84" i="11"/>
  <c r="J62" i="11"/>
  <c r="J70" i="11"/>
  <c r="J78" i="11"/>
  <c r="J86" i="11"/>
  <c r="J63" i="11"/>
  <c r="J71" i="11"/>
  <c r="J79" i="11"/>
  <c r="J87" i="11"/>
  <c r="J64" i="11"/>
  <c r="J72" i="11"/>
  <c r="J80" i="11"/>
  <c r="J55" i="11"/>
  <c r="J58" i="11"/>
  <c r="J65" i="11"/>
  <c r="J73" i="11"/>
  <c r="J81" i="11"/>
  <c r="J59" i="11"/>
  <c r="J67" i="11"/>
  <c r="J75" i="11"/>
  <c r="J83" i="11"/>
  <c r="J66" i="11"/>
  <c r="J69" i="11"/>
  <c r="J74" i="11"/>
  <c r="J77" i="11"/>
  <c r="J82" i="11"/>
  <c r="J85" i="11"/>
  <c r="J56" i="11"/>
  <c r="J94" i="11"/>
  <c r="AK18" i="23"/>
  <c r="J50" i="11"/>
  <c r="C39" i="23"/>
  <c r="AL18" i="23"/>
  <c r="AG18" i="23"/>
  <c r="BD27" i="23" s="1"/>
  <c r="J49" i="11"/>
  <c r="BX12" i="23"/>
  <c r="J46" i="11"/>
  <c r="M58" i="11"/>
  <c r="M70" i="11"/>
  <c r="M78" i="11"/>
  <c r="M86" i="11"/>
  <c r="M59" i="11"/>
  <c r="M61" i="11"/>
  <c r="M63" i="11"/>
  <c r="M72" i="11"/>
  <c r="M80" i="11"/>
  <c r="M55" i="11"/>
  <c r="M57" i="11"/>
  <c r="M60" i="11"/>
  <c r="M65" i="11"/>
  <c r="M73" i="11"/>
  <c r="M81" i="11"/>
  <c r="M56" i="11"/>
  <c r="M66" i="11"/>
  <c r="M74" i="11"/>
  <c r="M82" i="11"/>
  <c r="M67" i="11"/>
  <c r="M75" i="11"/>
  <c r="M83" i="11"/>
  <c r="M62" i="11"/>
  <c r="M69" i="11"/>
  <c r="M77" i="11"/>
  <c r="M85" i="11"/>
  <c r="M76" i="11"/>
  <c r="M79" i="11"/>
  <c r="M84" i="11"/>
  <c r="M87" i="11"/>
  <c r="M71" i="11"/>
  <c r="M68" i="11"/>
  <c r="AH24" i="23"/>
  <c r="AX87" i="23" s="1"/>
  <c r="AH25" i="23"/>
  <c r="AU87" i="23" s="1"/>
  <c r="E11" i="23"/>
  <c r="M94" i="11"/>
  <c r="AJ28" i="23"/>
  <c r="M50" i="11"/>
  <c r="AE22" i="23"/>
  <c r="AU74" i="23" s="1"/>
  <c r="AJ29" i="23"/>
  <c r="AF22" i="23"/>
  <c r="AZ72" i="23" s="1"/>
  <c r="AJ30" i="23"/>
  <c r="AD32" i="23"/>
  <c r="AD12" i="23"/>
  <c r="AG22" i="23"/>
  <c r="AX72" i="23" s="1"/>
  <c r="M46" i="11"/>
  <c r="AH23" i="23"/>
  <c r="M49" i="11"/>
  <c r="M48" i="11" s="1"/>
  <c r="CA12" i="23"/>
  <c r="P58" i="11"/>
  <c r="P62" i="11"/>
  <c r="P59" i="11"/>
  <c r="P61" i="11"/>
  <c r="P63" i="11"/>
  <c r="P65" i="11"/>
  <c r="P56" i="11"/>
  <c r="P57" i="11"/>
  <c r="P64" i="11"/>
  <c r="P73" i="11"/>
  <c r="P81" i="11"/>
  <c r="P74" i="11"/>
  <c r="P82" i="11"/>
  <c r="P66" i="11"/>
  <c r="P75" i="11"/>
  <c r="P83" i="11"/>
  <c r="P55" i="11"/>
  <c r="P68" i="11"/>
  <c r="P76" i="11"/>
  <c r="P84" i="11"/>
  <c r="P60" i="11"/>
  <c r="P69" i="11"/>
  <c r="P77" i="11"/>
  <c r="P85" i="11"/>
  <c r="P70" i="11"/>
  <c r="P78" i="11"/>
  <c r="P86" i="11"/>
  <c r="P72" i="11"/>
  <c r="P80" i="11"/>
  <c r="P50" i="11"/>
  <c r="P71" i="11"/>
  <c r="AD33" i="23"/>
  <c r="P79" i="11"/>
  <c r="P87" i="11"/>
  <c r="AE25" i="23"/>
  <c r="AS90" i="23" s="1"/>
  <c r="E27" i="23"/>
  <c r="P94" i="11"/>
  <c r="AI25" i="23"/>
  <c r="AU85" i="23" s="1"/>
  <c r="AG25" i="23"/>
  <c r="AU97" i="23" s="1"/>
  <c r="P49" i="11"/>
  <c r="AM25" i="23"/>
  <c r="P46" i="11"/>
  <c r="AM27" i="23"/>
  <c r="CD12" i="23"/>
  <c r="G60" i="11"/>
  <c r="G68" i="11"/>
  <c r="G76" i="11"/>
  <c r="G84" i="11"/>
  <c r="G62" i="11"/>
  <c r="G70" i="11"/>
  <c r="G78" i="11"/>
  <c r="G86" i="11"/>
  <c r="G63" i="11"/>
  <c r="G71" i="11"/>
  <c r="G79" i="11"/>
  <c r="G87" i="11"/>
  <c r="G64" i="11"/>
  <c r="G72" i="11"/>
  <c r="G80" i="11"/>
  <c r="G57" i="11"/>
  <c r="G65" i="11"/>
  <c r="G73" i="11"/>
  <c r="G81" i="11"/>
  <c r="G55" i="11"/>
  <c r="G59" i="11"/>
  <c r="G67" i="11"/>
  <c r="G75" i="11"/>
  <c r="G83" i="11"/>
  <c r="G74" i="11"/>
  <c r="G77" i="11"/>
  <c r="G82" i="11"/>
  <c r="G85" i="11"/>
  <c r="G61" i="11"/>
  <c r="G69" i="11"/>
  <c r="G56" i="11"/>
  <c r="AI15" i="23"/>
  <c r="AU21" i="23" s="1"/>
  <c r="AE15" i="23"/>
  <c r="AS26" i="23" s="1"/>
  <c r="C27" i="23"/>
  <c r="AG15" i="23"/>
  <c r="AU33" i="23" s="1"/>
  <c r="G94" i="11"/>
  <c r="AM15" i="23"/>
  <c r="AM17" i="23"/>
  <c r="G66" i="11"/>
  <c r="G50" i="11"/>
  <c r="G49" i="11"/>
  <c r="G48" i="11" s="1"/>
  <c r="G46" i="11"/>
  <c r="BU12" i="23"/>
  <c r="K59" i="11"/>
  <c r="K61" i="11"/>
  <c r="K64" i="11"/>
  <c r="K72" i="11"/>
  <c r="K80" i="11"/>
  <c r="K56" i="11"/>
  <c r="K66" i="11"/>
  <c r="K74" i="11"/>
  <c r="K82" i="11"/>
  <c r="K67" i="11"/>
  <c r="K75" i="11"/>
  <c r="K83" i="11"/>
  <c r="K68" i="11"/>
  <c r="K76" i="11"/>
  <c r="K84" i="11"/>
  <c r="K69" i="11"/>
  <c r="K77" i="11"/>
  <c r="K85" i="11"/>
  <c r="K55" i="11"/>
  <c r="K63" i="11"/>
  <c r="K71" i="11"/>
  <c r="K79" i="11"/>
  <c r="K87" i="11"/>
  <c r="K78" i="11"/>
  <c r="K81" i="11"/>
  <c r="K86" i="11"/>
  <c r="K60" i="11"/>
  <c r="K65" i="11"/>
  <c r="K57" i="11"/>
  <c r="K73" i="11"/>
  <c r="K94" i="11"/>
  <c r="K50" i="11"/>
  <c r="AG19" i="23"/>
  <c r="BF27" i="23" s="1"/>
  <c r="AK19" i="23"/>
  <c r="BH20" i="23" s="1"/>
  <c r="K58" i="11"/>
  <c r="K70" i="11"/>
  <c r="K49" i="11"/>
  <c r="K46" i="11"/>
  <c r="C43" i="23"/>
  <c r="BY12" i="23"/>
  <c r="AL19" i="23"/>
  <c r="F63" i="11"/>
  <c r="F71" i="11"/>
  <c r="F79" i="11"/>
  <c r="F87" i="11"/>
  <c r="F65" i="11"/>
  <c r="F73" i="11"/>
  <c r="F81" i="11"/>
  <c r="F58" i="11"/>
  <c r="F66" i="11"/>
  <c r="F74" i="11"/>
  <c r="F82" i="11"/>
  <c r="F59" i="11"/>
  <c r="F67" i="11"/>
  <c r="F75" i="11"/>
  <c r="F83" i="11"/>
  <c r="F55" i="11"/>
  <c r="F56" i="11"/>
  <c r="F60" i="11"/>
  <c r="F68" i="11"/>
  <c r="F76" i="11"/>
  <c r="F84" i="11"/>
  <c r="F62" i="11"/>
  <c r="F70" i="11"/>
  <c r="F78" i="11"/>
  <c r="F86" i="11"/>
  <c r="F69" i="11"/>
  <c r="F72" i="11"/>
  <c r="F77" i="11"/>
  <c r="F80" i="11"/>
  <c r="F85" i="11"/>
  <c r="F64" i="11"/>
  <c r="AI14" i="23"/>
  <c r="AX21" i="23" s="1"/>
  <c r="AD15" i="23"/>
  <c r="C19" i="23"/>
  <c r="F50" i="11"/>
  <c r="F61" i="11"/>
  <c r="F94" i="11"/>
  <c r="AD13" i="23"/>
  <c r="AG14" i="23"/>
  <c r="AX31" i="23" s="1"/>
  <c r="AM14" i="23"/>
  <c r="AM16" i="23"/>
  <c r="F49" i="11"/>
  <c r="F48" i="11" s="1"/>
  <c r="BT12" i="23"/>
  <c r="F46" i="11"/>
  <c r="I56" i="11"/>
  <c r="I66" i="11"/>
  <c r="I74" i="11"/>
  <c r="I82" i="11"/>
  <c r="I68" i="11"/>
  <c r="I76" i="11"/>
  <c r="I84" i="11"/>
  <c r="I55" i="11"/>
  <c r="I61" i="11"/>
  <c r="I69" i="11"/>
  <c r="I77" i="11"/>
  <c r="I85" i="11"/>
  <c r="I58" i="11"/>
  <c r="I62" i="11"/>
  <c r="I70" i="11"/>
  <c r="I78" i="11"/>
  <c r="I86" i="11"/>
  <c r="I63" i="11"/>
  <c r="I71" i="11"/>
  <c r="I79" i="11"/>
  <c r="I87" i="11"/>
  <c r="I57" i="11"/>
  <c r="I65" i="11"/>
  <c r="I73" i="11"/>
  <c r="I81" i="11"/>
  <c r="I64" i="11"/>
  <c r="I67" i="11"/>
  <c r="I59" i="11"/>
  <c r="I72" i="11"/>
  <c r="I75" i="11"/>
  <c r="I83" i="11"/>
  <c r="AG17" i="23"/>
  <c r="AU44" i="23" s="1"/>
  <c r="AN17" i="23"/>
  <c r="AU40" i="23" s="1"/>
  <c r="I80" i="11"/>
  <c r="AN15" i="23"/>
  <c r="C35" i="23"/>
  <c r="I50" i="11"/>
  <c r="I94" i="11"/>
  <c r="I46" i="11"/>
  <c r="BW12" i="23"/>
  <c r="I49" i="11"/>
  <c r="I48" i="11" s="1"/>
  <c r="L70" i="11"/>
  <c r="L78" i="11"/>
  <c r="L86" i="11"/>
  <c r="L57" i="11"/>
  <c r="L60" i="11"/>
  <c r="L64" i="11"/>
  <c r="L72" i="11"/>
  <c r="L80" i="11"/>
  <c r="L56" i="11"/>
  <c r="L65" i="11"/>
  <c r="L73" i="11"/>
  <c r="L81" i="11"/>
  <c r="L66" i="11"/>
  <c r="L74" i="11"/>
  <c r="L82" i="11"/>
  <c r="L67" i="11"/>
  <c r="L75" i="11"/>
  <c r="L83" i="11"/>
  <c r="L58" i="11"/>
  <c r="L69" i="11"/>
  <c r="L77" i="11"/>
  <c r="L85" i="11"/>
  <c r="L55" i="11"/>
  <c r="L61" i="11"/>
  <c r="L68" i="11"/>
  <c r="L71" i="11"/>
  <c r="L76" i="11"/>
  <c r="L59" i="11"/>
  <c r="L79" i="11"/>
  <c r="L87" i="11"/>
  <c r="AL20" i="23"/>
  <c r="AG20" i="23"/>
  <c r="BH27" i="23" s="1"/>
  <c r="L94" i="11"/>
  <c r="L62" i="11"/>
  <c r="AK20" i="23"/>
  <c r="BF20" i="23" s="1"/>
  <c r="L50" i="11"/>
  <c r="L84" i="11"/>
  <c r="L49" i="11"/>
  <c r="L46" i="11"/>
  <c r="C47" i="23"/>
  <c r="BZ12" i="23"/>
  <c r="W59" i="11"/>
  <c r="W61" i="11"/>
  <c r="W63" i="11"/>
  <c r="W65" i="11"/>
  <c r="W57" i="11"/>
  <c r="W60" i="11"/>
  <c r="W64" i="11"/>
  <c r="W55" i="11"/>
  <c r="W75" i="11"/>
  <c r="W83" i="11"/>
  <c r="W58" i="11"/>
  <c r="W62" i="11"/>
  <c r="W76" i="11"/>
  <c r="W84" i="11"/>
  <c r="W56" i="11"/>
  <c r="W70" i="11"/>
  <c r="W77" i="11"/>
  <c r="W85" i="11"/>
  <c r="W78" i="11"/>
  <c r="W86" i="11"/>
  <c r="W79" i="11"/>
  <c r="W87" i="11"/>
  <c r="W67" i="11"/>
  <c r="W69" i="11"/>
  <c r="W71" i="11"/>
  <c r="W73" i="11"/>
  <c r="W80" i="11"/>
  <c r="W66" i="11"/>
  <c r="W82" i="11"/>
  <c r="W72" i="11"/>
  <c r="AD34" i="23"/>
  <c r="AD39" i="23"/>
  <c r="W50" i="11"/>
  <c r="W81" i="11"/>
  <c r="AD25" i="23"/>
  <c r="W94" i="11"/>
  <c r="G27" i="23"/>
  <c r="W68" i="11"/>
  <c r="AI33" i="23"/>
  <c r="AI32" i="23" s="1"/>
  <c r="AE33" i="23"/>
  <c r="AS147" i="23" s="1"/>
  <c r="W49" i="11"/>
  <c r="W48" i="11" s="1"/>
  <c r="W46" i="11"/>
  <c r="AD45" i="23"/>
  <c r="CK12" i="23"/>
  <c r="AG33" i="23"/>
  <c r="AV152" i="23" s="1"/>
  <c r="X46" i="11"/>
  <c r="AT155" i="23"/>
  <c r="AU145" i="23"/>
  <c r="AH57" i="11"/>
  <c r="AH60" i="11"/>
  <c r="AH64" i="11"/>
  <c r="AH58" i="11"/>
  <c r="AH62" i="11"/>
  <c r="AH66" i="11"/>
  <c r="AH55" i="11"/>
  <c r="AH59" i="11"/>
  <c r="AH61" i="11"/>
  <c r="AH63" i="11"/>
  <c r="AH65" i="11"/>
  <c r="AH67" i="11"/>
  <c r="AH69" i="11"/>
  <c r="AH71" i="11"/>
  <c r="AH73" i="11"/>
  <c r="AH75" i="11"/>
  <c r="AH77" i="11"/>
  <c r="AH79" i="11"/>
  <c r="AH81" i="11"/>
  <c r="AH83" i="11"/>
  <c r="AH68" i="11"/>
  <c r="AH72" i="11"/>
  <c r="AH76" i="11"/>
  <c r="AH80" i="11"/>
  <c r="AH84" i="11"/>
  <c r="AH56" i="11"/>
  <c r="AH70" i="11"/>
  <c r="AH74" i="11"/>
  <c r="AH87" i="11"/>
  <c r="AH94" i="11"/>
  <c r="AG46" i="23"/>
  <c r="BH158" i="23" s="1"/>
  <c r="AH82" i="11"/>
  <c r="AM46" i="23"/>
  <c r="K31" i="23"/>
  <c r="AH78" i="11"/>
  <c r="AM47" i="23"/>
  <c r="AH50" i="11"/>
  <c r="AE46" i="23"/>
  <c r="BE157" i="23" s="1"/>
  <c r="AH86" i="11"/>
  <c r="AH49" i="11"/>
  <c r="AH48" i="11" s="1"/>
  <c r="BF153" i="23"/>
  <c r="D61" i="11"/>
  <c r="D69" i="11"/>
  <c r="D77" i="11"/>
  <c r="D85" i="11"/>
  <c r="D63" i="11"/>
  <c r="D71" i="11"/>
  <c r="D79" i="11"/>
  <c r="D87" i="11"/>
  <c r="D56" i="11"/>
  <c r="D64" i="11"/>
  <c r="D72" i="11"/>
  <c r="D80" i="11"/>
  <c r="D57" i="11"/>
  <c r="D65" i="11"/>
  <c r="D73" i="11"/>
  <c r="D81" i="11"/>
  <c r="D58" i="11"/>
  <c r="D66" i="11"/>
  <c r="D74" i="11"/>
  <c r="D82" i="11"/>
  <c r="D60" i="11"/>
  <c r="D68" i="11"/>
  <c r="D76" i="11"/>
  <c r="D84" i="11"/>
  <c r="D67" i="11"/>
  <c r="D70" i="11"/>
  <c r="D75" i="11"/>
  <c r="D78" i="11"/>
  <c r="D83" i="11"/>
  <c r="D86" i="11"/>
  <c r="D62" i="11"/>
  <c r="D59" i="11"/>
  <c r="AF12" i="23"/>
  <c r="AJ20" i="23"/>
  <c r="AG12" i="23"/>
  <c r="D94" i="11"/>
  <c r="AH13" i="23"/>
  <c r="AH14" i="23"/>
  <c r="AX23" i="23" s="1"/>
  <c r="AD22" i="23"/>
  <c r="AH15" i="23"/>
  <c r="AU23" i="23" s="1"/>
  <c r="AJ18" i="23"/>
  <c r="AE12" i="23"/>
  <c r="AU10" i="23" s="1"/>
  <c r="AJ19" i="23"/>
  <c r="C11" i="23"/>
  <c r="D50" i="11"/>
  <c r="BR12" i="23"/>
  <c r="D46" i="11"/>
  <c r="D49" i="11"/>
  <c r="C45" i="11"/>
  <c r="E61" i="11"/>
  <c r="E69" i="11"/>
  <c r="E77" i="11"/>
  <c r="E85" i="11"/>
  <c r="E63" i="11"/>
  <c r="E71" i="11"/>
  <c r="E79" i="11"/>
  <c r="E87" i="11"/>
  <c r="E55" i="11"/>
  <c r="E64" i="11"/>
  <c r="E72" i="11"/>
  <c r="E80" i="11"/>
  <c r="E57" i="11"/>
  <c r="E65" i="11"/>
  <c r="E73" i="11"/>
  <c r="E81" i="11"/>
  <c r="E58" i="11"/>
  <c r="E66" i="11"/>
  <c r="E74" i="11"/>
  <c r="E82" i="11"/>
  <c r="E60" i="11"/>
  <c r="E68" i="11"/>
  <c r="E76" i="11"/>
  <c r="E84" i="11"/>
  <c r="E67" i="11"/>
  <c r="E70" i="11"/>
  <c r="E75" i="11"/>
  <c r="E78" i="11"/>
  <c r="E83" i="11"/>
  <c r="E86" i="11"/>
  <c r="E62" i="11"/>
  <c r="C15" i="23"/>
  <c r="E59" i="11"/>
  <c r="AE13" i="23"/>
  <c r="AS24" i="23" s="1"/>
  <c r="E94" i="11"/>
  <c r="AG13" i="23"/>
  <c r="BA27" i="23" s="1"/>
  <c r="E50" i="11"/>
  <c r="AI13" i="23"/>
  <c r="E49" i="11"/>
  <c r="E48" i="11" s="1"/>
  <c r="H66" i="11"/>
  <c r="H74" i="11"/>
  <c r="H82" i="11"/>
  <c r="H60" i="11"/>
  <c r="H68" i="11"/>
  <c r="H76" i="11"/>
  <c r="H84" i="11"/>
  <c r="H58" i="11"/>
  <c r="H61" i="11"/>
  <c r="H69" i="11"/>
  <c r="H77" i="11"/>
  <c r="H85" i="11"/>
  <c r="H62" i="11"/>
  <c r="H70" i="11"/>
  <c r="H78" i="11"/>
  <c r="H86" i="11"/>
  <c r="H63" i="11"/>
  <c r="H71" i="11"/>
  <c r="H79" i="11"/>
  <c r="H87" i="11"/>
  <c r="H56" i="11"/>
  <c r="H65" i="11"/>
  <c r="H73" i="11"/>
  <c r="H81" i="11"/>
  <c r="H80" i="11"/>
  <c r="H83" i="11"/>
  <c r="H64" i="11"/>
  <c r="H67" i="11"/>
  <c r="H55" i="11"/>
  <c r="H75" i="11"/>
  <c r="H72" i="11"/>
  <c r="H50" i="11"/>
  <c r="AN14" i="23"/>
  <c r="AG16" i="23"/>
  <c r="AX35" i="23" s="1"/>
  <c r="C23" i="23"/>
  <c r="H57" i="11"/>
  <c r="AN16" i="23"/>
  <c r="AY32" i="23" s="1"/>
  <c r="H94" i="11"/>
  <c r="H49" i="11"/>
  <c r="H46" i="11"/>
  <c r="BV12" i="23"/>
  <c r="X48" i="11" l="1"/>
  <c r="S48" i="11"/>
  <c r="AG48" i="11"/>
  <c r="AB48" i="11"/>
  <c r="Y48" i="11"/>
  <c r="K48" i="11"/>
  <c r="AI48" i="11"/>
  <c r="AO25" i="23"/>
  <c r="AU90" i="23"/>
  <c r="BF86" i="23"/>
  <c r="AF18" i="23"/>
  <c r="BD47" i="23" s="1"/>
  <c r="J51" i="11"/>
  <c r="S39" i="23" s="1"/>
  <c r="M41" i="23"/>
  <c r="M40" i="23" s="1"/>
  <c r="M39" i="23"/>
  <c r="AZ57" i="23" s="1"/>
  <c r="Q51" i="11"/>
  <c r="T23" i="23" s="1"/>
  <c r="AF26" i="23"/>
  <c r="AX111" i="23" s="1"/>
  <c r="N25" i="23"/>
  <c r="N24" i="23" s="1"/>
  <c r="N23" i="23"/>
  <c r="AZ120" i="23" s="1"/>
  <c r="C25" i="23"/>
  <c r="C24" i="23"/>
  <c r="BF21" i="23"/>
  <c r="BH22" i="23"/>
  <c r="AX8" i="23"/>
  <c r="AG49" i="23"/>
  <c r="X75" i="11"/>
  <c r="X92" i="11" s="1"/>
  <c r="W74" i="11"/>
  <c r="W93" i="11" s="1"/>
  <c r="U72" i="11"/>
  <c r="U92" i="11" s="1"/>
  <c r="Z77" i="11"/>
  <c r="Z92" i="11" s="1"/>
  <c r="BF161" i="23"/>
  <c r="D19" i="23"/>
  <c r="AY30" i="23" s="1"/>
  <c r="C21" i="23"/>
  <c r="C20" i="23"/>
  <c r="AU42" i="23"/>
  <c r="AT136" i="23"/>
  <c r="E51" i="23"/>
  <c r="E13" i="23"/>
  <c r="E12" i="23"/>
  <c r="C41" i="23"/>
  <c r="C40" i="23"/>
  <c r="T48" i="11"/>
  <c r="AF29" i="23"/>
  <c r="BH111" i="23" s="1"/>
  <c r="T51" i="11"/>
  <c r="T43" i="23" s="1"/>
  <c r="N43" i="23"/>
  <c r="AZ123" i="23" s="1"/>
  <c r="N45" i="23"/>
  <c r="N44" i="23" s="1"/>
  <c r="O31" i="23"/>
  <c r="O32" i="23" s="1"/>
  <c r="O33" i="23" s="1"/>
  <c r="X51" i="11"/>
  <c r="U31" i="23" s="1"/>
  <c r="AG51" i="11"/>
  <c r="W27" i="23" s="1"/>
  <c r="Q27" i="23"/>
  <c r="Q28" i="23" s="1"/>
  <c r="Q29" i="23" s="1"/>
  <c r="BF22" i="23"/>
  <c r="AO15" i="23"/>
  <c r="AU26" i="23"/>
  <c r="G49" i="23"/>
  <c r="G48" i="23"/>
  <c r="AZ176" i="23"/>
  <c r="C16" i="23"/>
  <c r="C17" i="23"/>
  <c r="G8" i="20"/>
  <c r="G11" i="20"/>
  <c r="F11" i="20"/>
  <c r="G10" i="20" s="1"/>
  <c r="AJ12" i="23"/>
  <c r="BD22" i="23"/>
  <c r="AZ8" i="23"/>
  <c r="P67" i="11"/>
  <c r="P92" i="11" s="1"/>
  <c r="G58" i="11"/>
  <c r="G92" i="11" s="1"/>
  <c r="E56" i="11"/>
  <c r="E93" i="11" s="1"/>
  <c r="J61" i="11"/>
  <c r="J92" i="11" s="1"/>
  <c r="BB174" i="23"/>
  <c r="K33" i="23"/>
  <c r="K32" i="23"/>
  <c r="C36" i="23"/>
  <c r="D36" i="23" s="1"/>
  <c r="C37" i="23"/>
  <c r="G93" i="11"/>
  <c r="P48" i="11"/>
  <c r="AO33" i="23"/>
  <c r="AT147" i="23"/>
  <c r="AK12" i="23"/>
  <c r="BD20" i="23"/>
  <c r="AA51" i="11"/>
  <c r="V11" i="23" s="1"/>
  <c r="P11" i="23"/>
  <c r="E49" i="23"/>
  <c r="E48" i="23"/>
  <c r="R48" i="11"/>
  <c r="AF27" i="23"/>
  <c r="AV111" i="23" s="1"/>
  <c r="R51" i="11"/>
  <c r="T35" i="23" s="1"/>
  <c r="N37" i="23"/>
  <c r="N36" i="23" s="1"/>
  <c r="N35" i="23"/>
  <c r="AZ121" i="23" s="1"/>
  <c r="I48" i="23"/>
  <c r="BA176" i="23"/>
  <c r="I49" i="23"/>
  <c r="I28" i="23"/>
  <c r="I29" i="23"/>
  <c r="BA173" i="23"/>
  <c r="V51" i="11"/>
  <c r="U11" i="23" s="1"/>
  <c r="O11" i="23"/>
  <c r="BF136" i="23"/>
  <c r="AK22" i="23"/>
  <c r="BD84" i="23"/>
  <c r="AC48" i="11"/>
  <c r="M64" i="11"/>
  <c r="M92" i="11" s="1"/>
  <c r="R69" i="11"/>
  <c r="R92" i="11"/>
  <c r="R95" i="11" s="1"/>
  <c r="M47" i="23"/>
  <c r="AZ59" i="23" s="1"/>
  <c r="AF20" i="23"/>
  <c r="BF47" i="23" s="1"/>
  <c r="L51" i="11"/>
  <c r="S47" i="23" s="1"/>
  <c r="M49" i="23"/>
  <c r="M48" i="23" s="1"/>
  <c r="P93" i="11"/>
  <c r="AB51" i="11"/>
  <c r="V27" i="23" s="1"/>
  <c r="P27" i="23"/>
  <c r="P28" i="23" s="1"/>
  <c r="P29" i="23" s="1"/>
  <c r="AF48" i="23"/>
  <c r="BJ164" i="23" s="1"/>
  <c r="AJ51" i="11"/>
  <c r="W47" i="23" s="1"/>
  <c r="Q49" i="23"/>
  <c r="Q48" i="23" s="1"/>
  <c r="Q47" i="23"/>
  <c r="W51" i="11"/>
  <c r="U27" i="23" s="1"/>
  <c r="O27" i="23"/>
  <c r="O28" i="23" s="1"/>
  <c r="O29" i="23" s="1"/>
  <c r="AF19" i="23"/>
  <c r="BH47" i="23" s="1"/>
  <c r="K51" i="11"/>
  <c r="S43" i="23" s="1"/>
  <c r="M43" i="23"/>
  <c r="AZ58" i="23" s="1"/>
  <c r="M45" i="23"/>
  <c r="M44" i="23" s="1"/>
  <c r="BH86" i="23"/>
  <c r="J93" i="11"/>
  <c r="AH38" i="23"/>
  <c r="BA147" i="23"/>
  <c r="N15" i="23"/>
  <c r="N51" i="11"/>
  <c r="T15" i="23" s="1"/>
  <c r="AD51" i="11"/>
  <c r="V35" i="23" s="1"/>
  <c r="P37" i="23"/>
  <c r="P36" i="23" s="1"/>
  <c r="AF41" i="23"/>
  <c r="BB164" i="23" s="1"/>
  <c r="P35" i="23"/>
  <c r="AZ174" i="23"/>
  <c r="G33" i="23"/>
  <c r="G32" i="23"/>
  <c r="X93" i="11"/>
  <c r="AF30" i="23"/>
  <c r="BF111" i="23" s="1"/>
  <c r="U51" i="11"/>
  <c r="T47" i="23" s="1"/>
  <c r="N47" i="23"/>
  <c r="AZ124" i="23" s="1"/>
  <c r="N49" i="23"/>
  <c r="N48" i="23" s="1"/>
  <c r="R93" i="11"/>
  <c r="E40" i="23"/>
  <c r="F40" i="23" s="1"/>
  <c r="E41" i="23"/>
  <c r="K29" i="23"/>
  <c r="K28" i="23"/>
  <c r="BB173" i="23"/>
  <c r="AC51" i="11"/>
  <c r="V31" i="23" s="1"/>
  <c r="P31" i="23"/>
  <c r="P32" i="23" s="1"/>
  <c r="P33" i="23" s="1"/>
  <c r="D55" i="11"/>
  <c r="O66" i="11"/>
  <c r="O92" i="11" s="1"/>
  <c r="I51" i="11"/>
  <c r="S35" i="23" s="1"/>
  <c r="M37" i="23"/>
  <c r="M36" i="23" s="1"/>
  <c r="AF17" i="23"/>
  <c r="AV47" i="23" s="1"/>
  <c r="M35" i="23"/>
  <c r="AZ56" i="23" s="1"/>
  <c r="AJ38" i="23"/>
  <c r="AO38" i="23" s="1"/>
  <c r="BD151" i="23"/>
  <c r="BD146" i="23"/>
  <c r="AH32" i="23"/>
  <c r="AU147" i="23"/>
  <c r="C46" i="11"/>
  <c r="AS73" i="23"/>
  <c r="K62" i="11"/>
  <c r="K93" i="11" s="1"/>
  <c r="Y76" i="11"/>
  <c r="Y92" i="11" s="1"/>
  <c r="V73" i="11"/>
  <c r="V92" i="11"/>
  <c r="V95" i="11" s="1"/>
  <c r="AB79" i="11"/>
  <c r="AB92" i="11" s="1"/>
  <c r="AO39" i="23"/>
  <c r="AZ147" i="23"/>
  <c r="C44" i="23"/>
  <c r="C45" i="23"/>
  <c r="C28" i="23"/>
  <c r="C29" i="23"/>
  <c r="N27" i="23"/>
  <c r="P51" i="11"/>
  <c r="T27" i="23" s="1"/>
  <c r="AH22" i="23"/>
  <c r="BA87" i="23"/>
  <c r="E44" i="23"/>
  <c r="F44" i="23" s="1"/>
  <c r="E45" i="23"/>
  <c r="E21" i="23"/>
  <c r="E20" i="23"/>
  <c r="O93" i="11"/>
  <c r="AE93" i="11"/>
  <c r="S51" i="11"/>
  <c r="T39" i="23" s="1"/>
  <c r="AF28" i="23"/>
  <c r="BD111" i="23" s="1"/>
  <c r="N39" i="23"/>
  <c r="AZ122" i="23" s="1"/>
  <c r="N41" i="23"/>
  <c r="N40" i="23" s="1"/>
  <c r="AF51" i="11"/>
  <c r="W11" i="23" s="1"/>
  <c r="Q11" i="23"/>
  <c r="AH44" i="23"/>
  <c r="BG147" i="23"/>
  <c r="AO41" i="23"/>
  <c r="AZ161" i="23"/>
  <c r="S70" i="11"/>
  <c r="S92" i="11" s="1"/>
  <c r="AY34" i="23"/>
  <c r="D48" i="11"/>
  <c r="C49" i="11"/>
  <c r="H59" i="11"/>
  <c r="H92" i="11" s="1"/>
  <c r="H95" i="11" s="1"/>
  <c r="AG92" i="11"/>
  <c r="AG84" i="11"/>
  <c r="AG93" i="11" s="1"/>
  <c r="AJ87" i="11"/>
  <c r="AJ93" i="11" s="1"/>
  <c r="AJ92" i="11"/>
  <c r="H48" i="11"/>
  <c r="AI86" i="11"/>
  <c r="AI92" i="11" s="1"/>
  <c r="AI95" i="11" s="1"/>
  <c r="Q68" i="11"/>
  <c r="Q93" i="11" s="1"/>
  <c r="N65" i="11"/>
  <c r="N93" i="11" s="1"/>
  <c r="T71" i="11"/>
  <c r="T93" i="11" s="1"/>
  <c r="T92" i="11"/>
  <c r="AO34" i="23"/>
  <c r="AT157" i="23"/>
  <c r="C49" i="23"/>
  <c r="C48" i="23"/>
  <c r="N11" i="23"/>
  <c r="M51" i="11"/>
  <c r="T11" i="23" s="1"/>
  <c r="J48" i="11"/>
  <c r="I13" i="23"/>
  <c r="J13" i="23" s="1"/>
  <c r="I12" i="23"/>
  <c r="I51" i="23"/>
  <c r="J47" i="23" s="1"/>
  <c r="BD155" i="23" s="1"/>
  <c r="BA172" i="23"/>
  <c r="AI22" i="23"/>
  <c r="BA85" i="23"/>
  <c r="U93" i="11"/>
  <c r="AL24" i="23"/>
  <c r="AO24" i="23" s="1"/>
  <c r="AL23" i="23"/>
  <c r="BB87" i="23" s="1"/>
  <c r="K51" i="23"/>
  <c r="L35" i="23" s="1"/>
  <c r="BH162" i="23" s="1"/>
  <c r="L11" i="23"/>
  <c r="BH142" i="23" s="1"/>
  <c r="K12" i="23"/>
  <c r="K13" i="23"/>
  <c r="BB172" i="23"/>
  <c r="Z93" i="11"/>
  <c r="AF47" i="23"/>
  <c r="BH164" i="23" s="1"/>
  <c r="Q37" i="23"/>
  <c r="Q36" i="23" s="1"/>
  <c r="AI51" i="11"/>
  <c r="W35" i="23" s="1"/>
  <c r="Q35" i="23"/>
  <c r="E37" i="23"/>
  <c r="F37" i="23" s="1"/>
  <c r="E36" i="23"/>
  <c r="Y93" i="11"/>
  <c r="AD81" i="11"/>
  <c r="AD92" i="11" s="1"/>
  <c r="H93" i="11"/>
  <c r="M11" i="23"/>
  <c r="D51" i="11"/>
  <c r="S11" i="23" s="1"/>
  <c r="AH12" i="23"/>
  <c r="BA23" i="23"/>
  <c r="AF83" i="11"/>
  <c r="AF93" i="11" s="1"/>
  <c r="I60" i="11"/>
  <c r="I92" i="11" s="1"/>
  <c r="F57" i="11"/>
  <c r="F93" i="11" s="1"/>
  <c r="L63" i="11"/>
  <c r="L92" i="11"/>
  <c r="L95" i="11" s="1"/>
  <c r="L93" i="11"/>
  <c r="M27" i="23"/>
  <c r="G51" i="11"/>
  <c r="S27" i="23" s="1"/>
  <c r="E29" i="23"/>
  <c r="F29" i="23" s="1"/>
  <c r="E28" i="23"/>
  <c r="F28" i="23" s="1"/>
  <c r="AJ22" i="23"/>
  <c r="BD86" i="23"/>
  <c r="AO26" i="23"/>
  <c r="AY98" i="23"/>
  <c r="I37" i="23"/>
  <c r="I36" i="23"/>
  <c r="J36" i="23" s="1"/>
  <c r="BA175" i="23"/>
  <c r="AF42" i="23"/>
  <c r="BD164" i="23" s="1"/>
  <c r="P47" i="23"/>
  <c r="P49" i="23"/>
  <c r="P48" i="23" s="1"/>
  <c r="AE51" i="11"/>
  <c r="V47" i="23" s="1"/>
  <c r="AO40" i="23"/>
  <c r="AZ157" i="23"/>
  <c r="G36" i="23"/>
  <c r="H35" i="23"/>
  <c r="AV162" i="23" s="1"/>
  <c r="G37" i="23"/>
  <c r="H37" i="23" s="1"/>
  <c r="AZ175" i="23"/>
  <c r="G51" i="23"/>
  <c r="H47" i="23" s="1"/>
  <c r="AX155" i="23" s="1"/>
  <c r="G13" i="23"/>
  <c r="H13" i="23" s="1"/>
  <c r="G12" i="23"/>
  <c r="H12" i="23" s="1"/>
  <c r="H11" i="23"/>
  <c r="AV142" i="23" s="1"/>
  <c r="AZ172" i="23"/>
  <c r="V93" i="11"/>
  <c r="AI93" i="11"/>
  <c r="L47" i="23"/>
  <c r="BJ155" i="23" s="1"/>
  <c r="K48" i="23"/>
  <c r="BB176" i="23"/>
  <c r="K49" i="23"/>
  <c r="AO45" i="23"/>
  <c r="BF147" i="23"/>
  <c r="M93" i="11"/>
  <c r="E16" i="23"/>
  <c r="E17" i="23"/>
  <c r="AO46" i="23"/>
  <c r="BF157" i="23"/>
  <c r="AF16" i="23"/>
  <c r="AX47" i="23" s="1"/>
  <c r="H51" i="11"/>
  <c r="S23" i="23" s="1"/>
  <c r="M23" i="23"/>
  <c r="AZ55" i="23" s="1"/>
  <c r="M25" i="23"/>
  <c r="M24" i="23" s="1"/>
  <c r="AI12" i="23"/>
  <c r="BA21" i="23"/>
  <c r="AD14" i="23"/>
  <c r="M15" i="23"/>
  <c r="E51" i="11"/>
  <c r="S15" i="23" s="1"/>
  <c r="C51" i="23"/>
  <c r="D39" i="23" s="1"/>
  <c r="BD31" i="23" s="1"/>
  <c r="C13" i="23"/>
  <c r="C12" i="23"/>
  <c r="C94" i="11"/>
  <c r="AA78" i="11"/>
  <c r="AA92" i="11" s="1"/>
  <c r="AE82" i="11"/>
  <c r="AE92" i="11"/>
  <c r="AC80" i="11"/>
  <c r="AC93" i="11" s="1"/>
  <c r="AH85" i="11"/>
  <c r="AH93" i="11" s="1"/>
  <c r="AH51" i="11"/>
  <c r="W31" i="23" s="1"/>
  <c r="Q31" i="23"/>
  <c r="Q32" i="23" s="1"/>
  <c r="Q33" i="23" s="1"/>
  <c r="G28" i="23"/>
  <c r="H28" i="23" s="1"/>
  <c r="H27" i="23"/>
  <c r="AV150" i="23" s="1"/>
  <c r="G29" i="23"/>
  <c r="H29" i="23" s="1"/>
  <c r="AZ173" i="23"/>
  <c r="L48" i="11"/>
  <c r="AE14" i="23"/>
  <c r="AS25" i="23" s="1"/>
  <c r="F51" i="11"/>
  <c r="S19" i="23" s="1"/>
  <c r="M19" i="23"/>
  <c r="AO27" i="23"/>
  <c r="AO28" i="23" s="1"/>
  <c r="AU106" i="23"/>
  <c r="AS9" i="23"/>
  <c r="AL13" i="23"/>
  <c r="BB23" i="23" s="1"/>
  <c r="AL14" i="23"/>
  <c r="AY23" i="23" s="1"/>
  <c r="E24" i="23"/>
  <c r="F24" i="23" s="1"/>
  <c r="E25" i="23"/>
  <c r="AX89" i="23"/>
  <c r="N19" i="23"/>
  <c r="O51" i="11"/>
  <c r="T19" i="23" s="1"/>
  <c r="AD48" i="11"/>
  <c r="AT161" i="23"/>
  <c r="Y51" i="11"/>
  <c r="U35" i="23" s="1"/>
  <c r="AF35" i="23"/>
  <c r="AV164" i="23" s="1"/>
  <c r="O35" i="23"/>
  <c r="O37" i="23"/>
  <c r="O36" i="23" s="1"/>
  <c r="AJ32" i="23"/>
  <c r="AX146" i="23"/>
  <c r="AZ136" i="23"/>
  <c r="AJ44" i="23"/>
  <c r="BJ146" i="23"/>
  <c r="I32" i="23"/>
  <c r="I33" i="23"/>
  <c r="BA174" i="23"/>
  <c r="Z51" i="11"/>
  <c r="U47" i="23" s="1"/>
  <c r="AF36" i="23"/>
  <c r="AX164" i="23" s="1"/>
  <c r="O47" i="23"/>
  <c r="O49" i="23"/>
  <c r="O48" i="23" s="1"/>
  <c r="K36" i="23"/>
  <c r="BB175" i="23"/>
  <c r="K37" i="23"/>
  <c r="AA95" i="11" l="1"/>
  <c r="Q92" i="11"/>
  <c r="Q95" i="11" s="1"/>
  <c r="AA93" i="11"/>
  <c r="AH92" i="11"/>
  <c r="J12" i="23"/>
  <c r="AO44" i="23"/>
  <c r="P95" i="11"/>
  <c r="J35" i="23"/>
  <c r="BB162" i="23" s="1"/>
  <c r="AD95" i="11"/>
  <c r="J11" i="23"/>
  <c r="BB142" i="23" s="1"/>
  <c r="AO32" i="23"/>
  <c r="H31" i="23"/>
  <c r="AV156" i="23" s="1"/>
  <c r="L49" i="23"/>
  <c r="J37" i="23"/>
  <c r="AD93" i="11"/>
  <c r="D45" i="23"/>
  <c r="M95" i="11"/>
  <c r="AO12" i="23"/>
  <c r="Z95" i="11"/>
  <c r="D23" i="23"/>
  <c r="AY37" i="23" s="1"/>
  <c r="L37" i="23"/>
  <c r="J31" i="23"/>
  <c r="BB156" i="23" s="1"/>
  <c r="L36" i="23"/>
  <c r="J33" i="23"/>
  <c r="AF92" i="11"/>
  <c r="AF95" i="11" s="1"/>
  <c r="N92" i="11"/>
  <c r="D43" i="23"/>
  <c r="BF31" i="23" s="1"/>
  <c r="F51" i="23"/>
  <c r="U95" i="11"/>
  <c r="J32" i="23"/>
  <c r="L48" i="23"/>
  <c r="I93" i="11"/>
  <c r="I95" i="11" s="1"/>
  <c r="L12" i="23"/>
  <c r="AO22" i="23"/>
  <c r="K92" i="11"/>
  <c r="J95" i="11"/>
  <c r="X95" i="11"/>
  <c r="G95" i="11"/>
  <c r="T51" i="23"/>
  <c r="T12" i="23"/>
  <c r="T13" i="23"/>
  <c r="D92" i="11"/>
  <c r="D93" i="11"/>
  <c r="F41" i="23"/>
  <c r="V36" i="23"/>
  <c r="V37" i="23"/>
  <c r="W48" i="23"/>
  <c r="W49" i="23"/>
  <c r="J28" i="23"/>
  <c r="D35" i="23"/>
  <c r="AV43" i="23" s="1"/>
  <c r="E92" i="11"/>
  <c r="E95" i="11" s="1"/>
  <c r="D16" i="23"/>
  <c r="T45" i="23"/>
  <c r="T44" i="23"/>
  <c r="F11" i="23"/>
  <c r="AY75" i="23" s="1"/>
  <c r="D21" i="23"/>
  <c r="W92" i="11"/>
  <c r="W95" i="11" s="1"/>
  <c r="S20" i="23"/>
  <c r="S21" i="23"/>
  <c r="AJ95" i="11"/>
  <c r="N20" i="23"/>
  <c r="N21" i="23" s="1"/>
  <c r="AZ118" i="23"/>
  <c r="AH95" i="11"/>
  <c r="F17" i="23"/>
  <c r="V49" i="23"/>
  <c r="V48" i="23"/>
  <c r="S29" i="23"/>
  <c r="S28" i="23"/>
  <c r="W36" i="23"/>
  <c r="W37" i="23"/>
  <c r="L51" i="23"/>
  <c r="D48" i="23"/>
  <c r="N95" i="11"/>
  <c r="AO16" i="23"/>
  <c r="W51" i="23"/>
  <c r="W13" i="23"/>
  <c r="W12" i="23"/>
  <c r="F20" i="23"/>
  <c r="D44" i="23"/>
  <c r="S93" i="11"/>
  <c r="S95" i="11" s="1"/>
  <c r="V33" i="23"/>
  <c r="V32" i="23"/>
  <c r="AB93" i="11"/>
  <c r="AB95" i="11" s="1"/>
  <c r="H32" i="23"/>
  <c r="N16" i="23"/>
  <c r="N17" i="23" s="1"/>
  <c r="AZ117" i="23"/>
  <c r="S44" i="23"/>
  <c r="S45" i="23"/>
  <c r="J49" i="23"/>
  <c r="F47" i="23"/>
  <c r="BF96" i="23" s="1"/>
  <c r="L32" i="23"/>
  <c r="D24" i="23"/>
  <c r="S41" i="23"/>
  <c r="S40" i="23"/>
  <c r="T21" i="23"/>
  <c r="T20" i="23"/>
  <c r="D11" i="23"/>
  <c r="AY11" i="23" s="1"/>
  <c r="F15" i="23"/>
  <c r="BB91" i="23" s="1"/>
  <c r="H51" i="23"/>
  <c r="AZ54" i="23"/>
  <c r="M28" i="23"/>
  <c r="M29" i="23" s="1"/>
  <c r="J51" i="23"/>
  <c r="D49" i="23"/>
  <c r="F21" i="23"/>
  <c r="T29" i="23"/>
  <c r="T28" i="23"/>
  <c r="AO13" i="23"/>
  <c r="L27" i="23"/>
  <c r="BH150" i="23" s="1"/>
  <c r="H33" i="23"/>
  <c r="V29" i="23"/>
  <c r="V28" i="23"/>
  <c r="O13" i="23"/>
  <c r="O12" i="23"/>
  <c r="F48" i="23"/>
  <c r="L33" i="23"/>
  <c r="H48" i="23"/>
  <c r="W28" i="23"/>
  <c r="W29" i="23"/>
  <c r="D40" i="23"/>
  <c r="AO47" i="23"/>
  <c r="AO48" i="23" s="1"/>
  <c r="D25" i="23"/>
  <c r="AC92" i="11"/>
  <c r="AC95" i="11" s="1"/>
  <c r="D12" i="23"/>
  <c r="F16" i="23"/>
  <c r="AY87" i="23"/>
  <c r="AX85" i="23"/>
  <c r="D47" i="23"/>
  <c r="BH31" i="23" s="1"/>
  <c r="AG95" i="11"/>
  <c r="F19" i="23"/>
  <c r="AY94" i="23" s="1"/>
  <c r="AZ119" i="23"/>
  <c r="N28" i="23"/>
  <c r="N29" i="23" s="1"/>
  <c r="Y95" i="11"/>
  <c r="S36" i="23"/>
  <c r="S37" i="23"/>
  <c r="U12" i="23"/>
  <c r="U13" i="23"/>
  <c r="U51" i="23"/>
  <c r="J48" i="23"/>
  <c r="F49" i="23"/>
  <c r="H49" i="23"/>
  <c r="U32" i="23"/>
  <c r="U33" i="23"/>
  <c r="Q12" i="23"/>
  <c r="Q13" i="23"/>
  <c r="U49" i="23"/>
  <c r="U48" i="23"/>
  <c r="D13" i="23"/>
  <c r="D29" i="23"/>
  <c r="K95" i="11"/>
  <c r="O95" i="11"/>
  <c r="L28" i="23"/>
  <c r="U29" i="23"/>
  <c r="U28" i="23"/>
  <c r="L31" i="23"/>
  <c r="BH156" i="23" s="1"/>
  <c r="D41" i="23"/>
  <c r="AO17" i="23"/>
  <c r="AO18" i="23" s="1"/>
  <c r="AO19" i="23" s="1"/>
  <c r="AO20" i="23" s="1"/>
  <c r="AO30" i="23"/>
  <c r="M16" i="23"/>
  <c r="M17" i="23" s="1"/>
  <c r="AZ52" i="23"/>
  <c r="S51" i="23"/>
  <c r="S12" i="23"/>
  <c r="S13" i="23"/>
  <c r="T95" i="11"/>
  <c r="W32" i="23"/>
  <c r="W33" i="23"/>
  <c r="F92" i="11"/>
  <c r="F95" i="11" s="1"/>
  <c r="T17" i="23"/>
  <c r="T16" i="23"/>
  <c r="F23" i="23"/>
  <c r="AY101" i="23" s="1"/>
  <c r="D51" i="23"/>
  <c r="F35" i="23"/>
  <c r="AV107" i="23" s="1"/>
  <c r="F43" i="23"/>
  <c r="BH96" i="23" s="1"/>
  <c r="D27" i="23"/>
  <c r="AV37" i="23" s="1"/>
  <c r="L29" i="23"/>
  <c r="T48" i="23"/>
  <c r="T49" i="23"/>
  <c r="S48" i="23"/>
  <c r="S49" i="23"/>
  <c r="J27" i="23"/>
  <c r="BB150" i="23" s="1"/>
  <c r="P13" i="23"/>
  <c r="P12" i="23"/>
  <c r="AF49" i="23"/>
  <c r="D15" i="23"/>
  <c r="BB27" i="23" s="1"/>
  <c r="F12" i="23"/>
  <c r="M20" i="23"/>
  <c r="M21" i="23" s="1"/>
  <c r="AZ53" i="23"/>
  <c r="C48" i="11"/>
  <c r="AO14" i="23"/>
  <c r="AX25" i="23"/>
  <c r="AZ51" i="23"/>
  <c r="M12" i="23"/>
  <c r="M13" i="23"/>
  <c r="AZ116" i="23"/>
  <c r="N13" i="23"/>
  <c r="N12" i="23"/>
  <c r="U36" i="23"/>
  <c r="U37" i="23"/>
  <c r="AE95" i="11"/>
  <c r="S25" i="23"/>
  <c r="S24" i="23"/>
  <c r="AO35" i="23"/>
  <c r="AO36" i="23" s="1"/>
  <c r="F25" i="23"/>
  <c r="S16" i="23"/>
  <c r="S17" i="23"/>
  <c r="H36" i="23"/>
  <c r="F27" i="23"/>
  <c r="AV101" i="23" s="1"/>
  <c r="F36" i="23"/>
  <c r="L13" i="23"/>
  <c r="AO23" i="23"/>
  <c r="T41" i="23"/>
  <c r="T40" i="23"/>
  <c r="F45" i="23"/>
  <c r="D28" i="23"/>
  <c r="AO42" i="23"/>
  <c r="F39" i="23"/>
  <c r="BD96" i="23" s="1"/>
  <c r="AO29" i="23"/>
  <c r="J29" i="23"/>
  <c r="T36" i="23"/>
  <c r="T37" i="23"/>
  <c r="V51" i="23"/>
  <c r="V12" i="23"/>
  <c r="V13" i="23"/>
  <c r="D37" i="23"/>
  <c r="D17" i="23"/>
  <c r="F13" i="23"/>
  <c r="D20" i="23"/>
  <c r="T24" i="23"/>
  <c r="T25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<sst xmlns="http://schemas.openxmlformats.org/spreadsheetml/2006/main" count="15007" uniqueCount="4060">
  <si>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</si>
  <si>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</si>
  <si>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</si>
  <si>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</si>
  <si>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</si>
  <si>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</si>
  <si>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</si>
  <si>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</si>
  <si>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</si>
  <si>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</si>
  <si>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</si>
  <si>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</si>
  <si>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</si>
  <si>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</si>
  <si>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</si>
  <si>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</si>
  <si>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</si>
  <si>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</si>
  <si>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</si>
  <si>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</si>
  <si>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</si>
  <si>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</si>
  <si>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</si>
  <si>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</si>
  <si>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</si>
  <si>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</si>
  <si>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</si>
  <si>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</si>
  <si>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</si>
  <si>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</si>
  <si>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</si>
  <si>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</si>
  <si>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</si>
  <si>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</si>
  <si>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</si>
  <si>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</si>
  <si>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</si>
  <si>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</si>
  <si>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</si>
  <si>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</si>
  <si>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</si>
  <si>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</si>
  <si>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</si>
  <si>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</si>
  <si>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</si>
  <si>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</si>
  <si>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</si>
  <si>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</si>
  <si>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</si>
  <si>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</si>
  <si>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</si>
  <si>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</si>
  <si>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</si>
  <si>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</si>
  <si>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</si>
  <si>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</si>
  <si>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</si>
  <si>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</si>
  <si>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</si>
  <si>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</si>
  <si>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</si>
  <si>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</si>
  <si>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</si>
  <si>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</si>
  <si>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</si>
  <si>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</si>
  <si>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</si>
  <si>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</si>
  <si>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</si>
  <si>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</si>
  <si>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</si>
  <si>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</si>
  <si>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</si>
  <si>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</si>
  <si>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</si>
  <si>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</si>
  <si>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</si>
  <si>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</si>
  <si>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</si>
  <si>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</si>
  <si>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</si>
  <si>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</si>
  <si>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</si>
  <si>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</si>
  <si>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</si>
  <si>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</si>
  <si>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</si>
  <si>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</si>
  <si>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</si>
  <si>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</si>
  <si>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</si>
  <si>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</si>
  <si>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</si>
  <si>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</si>
  <si>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</si>
  <si>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</si>
  <si>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</si>
  <si>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</si>
  <si>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</si>
  <si>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</si>
  <si>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</si>
  <si>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</si>
  <si>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</si>
  <si>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</si>
  <si>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</si>
  <si>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</si>
  <si>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</si>
  <si>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</si>
  <si>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</si>
  <si>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</si>
  <si>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</si>
  <si>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</si>
  <si>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</si>
  <si>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</si>
  <si>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</si>
  <si>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</si>
  <si>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</si>
  <si>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</si>
  <si>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</si>
  <si>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</si>
  <si>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</si>
  <si>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</si>
  <si>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</si>
  <si>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</si>
  <si>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</si>
  <si>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</si>
  <si>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</si>
  <si>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</si>
  <si>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</si>
  <si>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</si>
  <si>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</si>
  <si>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</si>
  <si>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</si>
  <si>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</si>
  <si>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</si>
  <si>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</si>
  <si>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</si>
  <si>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</si>
  <si>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</si>
  <si>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</si>
  <si>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</si>
  <si>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</si>
  <si>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</si>
  <si>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</si>
  <si>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</si>
  <si>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</si>
  <si>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</si>
  <si>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</si>
  <si>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</si>
  <si>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</si>
  <si>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</si>
  <si>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</si>
  <si>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</si>
  <si>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</si>
  <si>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</si>
  <si>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</si>
  <si>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</si>
  <si>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</si>
  <si>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</si>
  <si>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</si>
  <si>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</si>
  <si>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</si>
  <si>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</si>
  <si>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</si>
  <si>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</si>
  <si>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</si>
  <si>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</si>
  <si>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</si>
  <si>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</si>
  <si>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</si>
  <si>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</si>
  <si>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</si>
  <si>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</si>
  <si>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</si>
  <si>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</si>
  <si>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</si>
  <si>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</si>
  <si>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</si>
  <si>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</si>
  <si>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</si>
  <si>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</si>
  <si>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</si>
  <si>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</si>
  <si>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</si>
  <si>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</si>
  <si>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</si>
  <si>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</si>
  <si>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</si>
  <si>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</si>
  <si>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</si>
  <si>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</si>
  <si>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</si>
  <si>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</si>
  <si>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</si>
  <si>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</si>
  <si>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</si>
  <si>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</si>
  <si>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</si>
  <si>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</si>
  <si>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</si>
  <si>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</si>
  <si>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</si>
  <si>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</si>
  <si>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</si>
  <si>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</si>
  <si>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</si>
  <si>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</si>
  <si>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</si>
  <si>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</si>
  <si>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</si>
  <si>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</si>
  <si>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</si>
  <si>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</si>
  <si>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</si>
  <si>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</si>
  <si>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</si>
  <si>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</si>
  <si>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</si>
  <si>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</si>
  <si>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</si>
  <si>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</si>
  <si>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</si>
  <si>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</si>
  <si>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</si>
  <si>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</si>
  <si>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</si>
  <si>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</si>
  <si>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</si>
  <si>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</si>
  <si>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</si>
  <si>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</si>
  <si>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</si>
  <si>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</si>
  <si>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</si>
  <si>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</si>
  <si>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</si>
  <si>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</si>
  <si>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</si>
  <si>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</si>
  <si>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</si>
  <si>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</si>
  <si>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</si>
  <si>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</si>
  <si>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</si>
  <si>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</si>
  <si>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</si>
  <si>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</si>
  <si>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</si>
  <si>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</si>
  <si>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</si>
  <si>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</si>
  <si>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</si>
  <si>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</si>
  <si>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</si>
  <si>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</si>
  <si>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</si>
  <si>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</si>
  <si>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</si>
  <si>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</si>
  <si>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</si>
  <si>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</si>
  <si>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</si>
  <si>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</si>
  <si>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</si>
  <si>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</si>
  <si>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</si>
  <si>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</si>
  <si>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</si>
  <si>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</si>
  <si>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</si>
  <si>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</si>
  <si>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</si>
  <si>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</si>
  <si>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</si>
  <si>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</si>
  <si>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</si>
  <si>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</si>
  <si>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</si>
  <si>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</si>
  <si>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</si>
  <si>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</si>
  <si>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</si>
  <si>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</si>
  <si>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</si>
  <si>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</si>
  <si>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</si>
  <si>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</si>
  <si>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</si>
  <si>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</si>
  <si>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</si>
  <si>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</si>
  <si>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</si>
  <si>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</si>
  <si>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</si>
  <si>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</si>
  <si>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</si>
  <si>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</si>
  <si>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</si>
  <si>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</si>
  <si>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</si>
  <si>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</si>
  <si>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</si>
  <si>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</si>
  <si>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</si>
  <si>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</si>
  <si>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</si>
  <si>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</si>
  <si>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</si>
  <si>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</si>
  <si>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</si>
  <si>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</si>
  <si>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</si>
  <si>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</si>
  <si>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</si>
  <si>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</si>
  <si>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</si>
  <si>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</si>
  <si>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</si>
  <si>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</si>
  <si>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</si>
  <si>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</si>
  <si>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</si>
  <si>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</si>
  <si>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</si>
  <si>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</si>
  <si>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</si>
  <si>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</si>
  <si>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</si>
  <si>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</si>
  <si>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</si>
  <si>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</si>
  <si>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</si>
  <si>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</si>
  <si>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</si>
  <si>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</si>
  <si>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</si>
  <si>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</si>
  <si>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</si>
  <si>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</si>
  <si>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</si>
  <si>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</si>
  <si>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</si>
  <si>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</si>
  <si>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</si>
  <si>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</si>
  <si>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</si>
  <si>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</si>
  <si>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</si>
  <si>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</si>
  <si>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</si>
  <si>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</si>
  <si>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</si>
  <si>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</si>
  <si>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</si>
  <si>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</si>
  <si>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</si>
  <si>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</si>
  <si>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</si>
  <si>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</si>
  <si>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</si>
  <si>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</si>
  <si>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</si>
  <si>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</si>
  <si>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</si>
  <si>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</si>
  <si>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</si>
  <si>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</si>
  <si>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</si>
  <si>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</si>
  <si>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</si>
  <si>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</si>
  <si>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</si>
  <si>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</si>
  <si>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</si>
  <si>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</si>
  <si>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</si>
  <si>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</si>
  <si>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</si>
  <si>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</si>
  <si>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</si>
  <si>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</si>
  <si>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</si>
  <si>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</si>
  <si>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</si>
  <si>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</si>
  <si>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</si>
  <si>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</si>
  <si>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</si>
  <si>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</si>
  <si>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</si>
  <si>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</si>
  <si>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</si>
  <si>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</si>
  <si>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</si>
  <si>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</si>
  <si>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</si>
  <si>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</si>
  <si>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</si>
  <si>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</si>
  <si>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</si>
  <si>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</si>
  <si>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</si>
  <si>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</si>
  <si>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</si>
  <si>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</si>
  <si>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</si>
  <si>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</si>
  <si>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</si>
  <si>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</si>
  <si>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</si>
  <si>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</si>
  <si>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</si>
  <si>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</si>
  <si>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</si>
  <si>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</si>
  <si>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</si>
  <si>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</si>
  <si>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</si>
  <si>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</si>
  <si>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</si>
  <si>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</si>
  <si>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</si>
  <si>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</si>
  <si>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</si>
  <si>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</si>
  <si>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</si>
  <si>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</si>
  <si>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</si>
  <si>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</si>
  <si>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</si>
  <si>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</si>
  <si>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</si>
  <si>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</si>
  <si>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</si>
  <si>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</si>
  <si>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</si>
  <si>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</si>
  <si>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</si>
  <si>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</si>
  <si>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</si>
  <si>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</si>
  <si>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</si>
  <si>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</si>
  <si>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</si>
  <si>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</si>
  <si>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</si>
  <si>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</si>
  <si>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</si>
  <si>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</si>
  <si>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</si>
  <si>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</si>
  <si>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</si>
  <si>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</si>
  <si>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</si>
  <si>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</si>
  <si>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</si>
  <si>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</si>
  <si>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</si>
  <si>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</si>
  <si>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</si>
  <si>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</si>
  <si>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</si>
  <si>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</si>
  <si>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</si>
  <si>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</si>
  <si>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</si>
  <si>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</si>
  <si>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</si>
  <si>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</si>
  <si>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</si>
  <si>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</si>
  <si>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</si>
  <si>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</si>
  <si>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</si>
  <si>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</si>
  <si>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</si>
  <si>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</si>
  <si>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</si>
  <si>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</si>
  <si>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</si>
  <si>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</si>
  <si>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</si>
  <si>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</si>
  <si>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</si>
  <si>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</si>
  <si>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</si>
  <si>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</si>
  <si>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</si>
  <si>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</si>
  <si>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</si>
  <si>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</si>
  <si>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</si>
  <si>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</si>
  <si>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</si>
  <si>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</si>
  <si>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</si>
  <si>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</si>
  <si>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</si>
  <si>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</si>
  <si>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</si>
  <si>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</si>
  <si>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</si>
  <si>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</si>
  <si>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</si>
  <si>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</si>
  <si>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</si>
  <si>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</si>
  <si>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</si>
  <si>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</si>
  <si>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</si>
  <si>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</si>
  <si>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</si>
  <si>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</si>
  <si>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</si>
  <si>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</si>
  <si>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</si>
  <si>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</si>
  <si>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</si>
  <si>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</si>
  <si>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</si>
  <si>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</si>
  <si>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</si>
  <si>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</si>
  <si>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</si>
  <si>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</si>
  <si>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</si>
  <si>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</si>
  <si>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</si>
  <si>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</si>
  <si>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</si>
  <si>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</si>
  <si>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</si>
  <si>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</si>
  <si>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</si>
  <si>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</si>
  <si>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</si>
  <si>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</si>
  <si>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</si>
  <si>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</si>
  <si>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</si>
  <si>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</si>
  <si>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</si>
  <si>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</si>
  <si>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</si>
  <si>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</si>
  <si>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</si>
  <si>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</si>
  <si>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</si>
  <si>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</si>
  <si>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</si>
  <si>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</si>
  <si>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</si>
  <si>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</si>
  <si>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</si>
  <si>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</si>
  <si>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</si>
  <si>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</si>
  <si>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</si>
  <si>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</si>
  <si>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</si>
  <si>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</si>
  <si>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</si>
  <si>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</si>
  <si>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</si>
  <si>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</si>
  <si>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</si>
  <si>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</si>
  <si>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</si>
  <si>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</si>
  <si>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</si>
  <si>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</si>
  <si>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</si>
  <si>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</si>
  <si>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</si>
  <si>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</si>
  <si>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</si>
  <si>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</si>
  <si>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</si>
  <si>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</si>
  <si>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</si>
  <si>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</si>
  <si>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</si>
  <si>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</si>
  <si>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</si>
  <si>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</si>
  <si>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</si>
  <si>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</si>
  <si>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</si>
  <si>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</si>
  <si>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</si>
  <si>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</si>
  <si>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</si>
  <si>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</si>
  <si>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</si>
  <si>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</si>
  <si>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</si>
  <si>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</si>
  <si>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</si>
  <si>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</si>
  <si>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</si>
  <si>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</si>
  <si>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</si>
  <si>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</si>
  <si>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</si>
  <si>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</si>
  <si>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</si>
  <si>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</si>
  <si>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</si>
  <si>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</si>
  <si>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</si>
  <si>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</si>
  <si>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</si>
  <si>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</si>
  <si>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</si>
  <si>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</si>
  <si>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</si>
  <si>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</si>
  <si>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</si>
  <si>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</si>
  <si>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</si>
  <si>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</si>
  <si>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</si>
  <si>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</si>
  <si>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</si>
  <si>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</si>
  <si>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</si>
  <si>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</si>
  <si>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</si>
  <si>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</si>
  <si>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</si>
  <si>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</si>
  <si>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</si>
  <si>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</si>
  <si>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</si>
  <si>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</si>
  <si>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</si>
  <si>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</si>
  <si>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</si>
  <si>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</si>
  <si>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</si>
  <si>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</si>
  <si>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</si>
  <si>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</si>
  <si>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</si>
  <si>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</si>
  <si>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</si>
  <si>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</si>
  <si>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</si>
  <si>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</si>
  <si>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</si>
  <si>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</si>
  <si>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</si>
  <si>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</si>
  <si>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</si>
  <si>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</si>
  <si>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</si>
  <si>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</si>
  <si>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</si>
  <si>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</si>
  <si>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</si>
  <si>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</si>
  <si>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</si>
  <si>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</si>
  <si>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</si>
  <si>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</si>
  <si>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</si>
  <si>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</si>
  <si>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</si>
  <si>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</si>
  <si>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</si>
  <si>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</si>
  <si>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</si>
  <si>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</si>
  <si>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</si>
  <si>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</si>
  <si>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</si>
  <si>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</si>
  <si>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</si>
  <si>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</si>
  <si>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</si>
  <si>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</si>
  <si>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</si>
  <si>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</si>
  <si>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</si>
  <si>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</si>
  <si>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</si>
  <si>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</si>
  <si>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</si>
  <si>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</si>
  <si>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</si>
  <si>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</si>
  <si>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</si>
  <si>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</si>
  <si>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</si>
  <si>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</si>
  <si>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</si>
  <si>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</si>
  <si>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</si>
  <si>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</si>
  <si>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</si>
  <si>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</si>
  <si>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</si>
  <si>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</si>
  <si>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</si>
  <si>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</si>
  <si>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</si>
  <si>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</si>
  <si>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</si>
  <si>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</si>
  <si>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</si>
  <si>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</si>
  <si>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</si>
  <si>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</si>
  <si>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</si>
  <si>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</si>
  <si>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</si>
  <si>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</si>
  <si>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</si>
  <si>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</si>
  <si>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</si>
  <si>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</si>
  <si>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</si>
  <si>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</si>
  <si>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</si>
  <si>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</si>
  <si>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</si>
  <si>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</si>
  <si>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</si>
  <si>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</si>
  <si>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</si>
  <si>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</si>
  <si>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</si>
  <si>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</si>
  <si>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</si>
  <si>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</si>
  <si>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</si>
  <si>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</si>
  <si>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</si>
  <si>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</si>
  <si>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</si>
  <si>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</si>
  <si>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</si>
  <si>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</si>
  <si>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</si>
  <si>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</si>
  <si>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</si>
  <si>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</si>
  <si>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</si>
  <si>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</si>
  <si>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</si>
  <si>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</si>
  <si>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</si>
  <si>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</si>
  <si>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</si>
  <si>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</si>
  <si>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</si>
  <si>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</si>
  <si>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</si>
  <si>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</si>
  <si>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</si>
  <si>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</si>
  <si>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</si>
  <si>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</si>
  <si>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</si>
  <si>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</si>
  <si>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</si>
  <si>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</si>
  <si>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</si>
  <si>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</si>
  <si>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</si>
  <si>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</si>
  <si>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</si>
  <si>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</si>
  <si>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</si>
  <si>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</si>
  <si>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</si>
  <si>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</si>
  <si>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</si>
  <si>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</si>
  <si>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</si>
  <si>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</si>
  <si>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</si>
  <si>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</si>
  <si>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</si>
  <si>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</si>
  <si>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</si>
  <si>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</si>
  <si>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</si>
  <si>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</si>
  <si>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</si>
  <si>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</si>
  <si>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</si>
  <si>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</si>
  <si>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</si>
  <si>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</si>
  <si>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</si>
  <si>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</si>
  <si>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</si>
  <si>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</si>
  <si>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</si>
  <si>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</si>
  <si>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</si>
  <si>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</si>
  <si>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</si>
  <si>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</si>
  <si>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</si>
  <si>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</si>
  <si>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</si>
  <si>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</si>
  <si>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</si>
  <si>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</si>
  <si>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</si>
  <si>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</si>
  <si>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</si>
  <si>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</si>
  <si>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</si>
  <si>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</si>
  <si>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</si>
  <si>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</si>
  <si>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</si>
  <si>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</si>
  <si>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</si>
  <si>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</si>
  <si>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</si>
  <si>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</si>
  <si>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</si>
  <si>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</si>
  <si>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</si>
  <si>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</si>
  <si>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</si>
  <si>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</si>
  <si>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</si>
  <si>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</si>
  <si>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</si>
  <si>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</si>
  <si>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</si>
  <si>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</si>
  <si>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</si>
  <si>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</si>
  <si>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</si>
  <si>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</si>
  <si>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</si>
  <si>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</si>
  <si>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</si>
  <si>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</si>
  <si>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</si>
  <si>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</si>
  <si>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</si>
  <si>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</si>
  <si>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</si>
  <si>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</si>
  <si>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</si>
  <si>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</si>
  <si>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</si>
  <si>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</si>
  <si>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</si>
  <si>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</si>
  <si>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</si>
  <si>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</si>
  <si>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</si>
  <si>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</si>
  <si>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</si>
  <si>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</si>
  <si>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</si>
  <si>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</si>
  <si>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</si>
  <si>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</si>
  <si>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</si>
  <si>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</si>
  <si>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</si>
  <si>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</si>
  <si>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</si>
  <si>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</si>
  <si>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</si>
  <si>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</si>
  <si>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</si>
  <si>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</si>
  <si>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</si>
  <si>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</si>
  <si>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</si>
  <si>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</si>
  <si>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</si>
  <si>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</si>
  <si>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</si>
  <si>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</si>
  <si>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</si>
  <si>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</si>
  <si>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</si>
  <si>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</si>
  <si>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</si>
  <si>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</si>
  <si>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</si>
  <si>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</si>
  <si>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</si>
  <si>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</si>
  <si>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</si>
  <si>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</si>
  <si>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</si>
  <si>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</si>
  <si>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</si>
  <si>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</si>
  <si>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</si>
  <si>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</si>
  <si>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</si>
  <si>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</si>
  <si>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</si>
  <si>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</si>
  <si>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</si>
  <si>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</si>
  <si>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</si>
  <si>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</si>
  <si>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</si>
  <si>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</si>
  <si>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</si>
  <si>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</si>
  <si>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</si>
  <si>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</si>
  <si>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</si>
  <si>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</si>
  <si>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</si>
  <si>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</si>
  <si>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</si>
  <si>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</si>
  <si>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</si>
  <si>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</si>
  <si>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</si>
  <si>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</si>
  <si>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</si>
  <si>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</si>
  <si>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</si>
  <si>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</si>
  <si>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</si>
  <si>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</si>
  <si>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</si>
  <si>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</si>
  <si>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</si>
  <si>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</si>
  <si>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</si>
  <si>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</si>
  <si>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</si>
  <si>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</si>
  <si>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</si>
  <si>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</si>
  <si>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</si>
  <si>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</si>
  <si>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</si>
  <si>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</si>
  <si>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</si>
  <si>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</si>
  <si>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</si>
  <si>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</si>
  <si>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</si>
  <si>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</si>
  <si>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</si>
  <si>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</si>
  <si>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</si>
  <si>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</si>
  <si>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</si>
  <si>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</si>
  <si>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</si>
  <si>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</si>
  <si>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</si>
  <si>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</si>
  <si>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</si>
  <si>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</si>
  <si>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</si>
  <si>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</si>
  <si>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</si>
  <si>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</si>
  <si>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</si>
  <si>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</si>
  <si>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</si>
  <si>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</si>
  <si>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</si>
  <si>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</si>
  <si>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</si>
  <si>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</si>
  <si>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</si>
  <si>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</si>
  <si>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</si>
  <si>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</si>
  <si>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</si>
  <si>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</si>
  <si>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</si>
  <si>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</si>
  <si>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</si>
  <si>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</si>
  <si>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</si>
  <si>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</si>
  <si>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</si>
  <si>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</si>
  <si>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</si>
  <si>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</si>
  <si>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</si>
  <si>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</si>
  <si>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</si>
  <si>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</si>
  <si>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</si>
  <si>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</si>
  <si>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</si>
  <si>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</si>
  <si>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</si>
  <si>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</si>
  <si>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</si>
  <si>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</si>
  <si>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</si>
  <si>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</si>
  <si>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</si>
  <si>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</si>
  <si>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</si>
  <si>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</si>
  <si>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</si>
  <si>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</si>
  <si>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</si>
  <si>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</si>
  <si>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</si>
  <si>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</si>
  <si>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</si>
  <si>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</si>
  <si>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</si>
  <si>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</si>
  <si>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</si>
  <si>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</si>
  <si>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</si>
  <si>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</si>
  <si>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</si>
  <si>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</si>
  <si>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</si>
  <si>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</si>
  <si>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</si>
  <si>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</si>
  <si>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</si>
  <si>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</si>
  <si>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</si>
  <si>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</si>
  <si>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</si>
  <si>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</si>
  <si>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</si>
  <si>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</si>
  <si>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</si>
  <si>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</si>
  <si>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</si>
  <si>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</si>
  <si>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</si>
  <si>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</si>
  <si>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</si>
  <si>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</si>
  <si>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</si>
  <si>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</si>
  <si>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</si>
  <si>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</si>
  <si>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</si>
  <si>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</si>
  <si>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</si>
  <si>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</si>
  <si>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</si>
  <si>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</si>
  <si>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</si>
  <si>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</si>
  <si>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</si>
  <si>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</si>
  <si>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</si>
  <si>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</si>
  <si>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</si>
  <si>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</si>
  <si>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</si>
  <si>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</si>
  <si>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</si>
  <si>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</si>
  <si>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</si>
  <si>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</si>
  <si>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</si>
  <si>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</si>
  <si>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</si>
  <si>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</si>
  <si>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</si>
  <si>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</si>
  <si>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</si>
  <si>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</si>
  <si>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</si>
  <si>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</si>
  <si>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</si>
  <si>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</si>
  <si>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</si>
  <si>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</si>
  <si>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</si>
  <si>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</si>
  <si>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</si>
  <si>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</si>
  <si>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</si>
  <si>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</si>
  <si>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</si>
  <si>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</si>
  <si>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</si>
  <si>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</si>
  <si>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</si>
  <si>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</si>
  <si>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</si>
  <si>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</si>
  <si>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</si>
  <si>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</si>
  <si>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</si>
  <si>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</si>
  <si>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</si>
  <si>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</si>
  <si>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</si>
  <si>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</si>
  <si>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</si>
  <si>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</si>
  <si>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</si>
  <si>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</si>
  <si>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</si>
  <si>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</si>
  <si>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</si>
  <si>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</si>
  <si>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</si>
  <si>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</si>
  <si>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</si>
  <si>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</si>
  <si>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</si>
  <si>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</si>
  <si>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</si>
  <si>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</si>
  <si>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</si>
  <si>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</si>
  <si>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</si>
  <si>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</si>
  <si>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</si>
  <si>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</si>
  <si>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</si>
  <si>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</si>
  <si>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</si>
  <si>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</si>
  <si>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</si>
  <si>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</si>
  <si>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</si>
  <si>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</si>
  <si>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</si>
  <si>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</si>
  <si>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</si>
  <si>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</si>
  <si>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</si>
  <si>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</si>
  <si>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</si>
  <si>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</si>
  <si>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</si>
  <si>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</si>
  <si>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</si>
  <si>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</si>
  <si>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</si>
  <si>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</si>
  <si>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</si>
  <si>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</si>
  <si>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</si>
  <si>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</si>
  <si>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</si>
  <si>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</si>
  <si>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</si>
  <si>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</si>
  <si>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</si>
  <si>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</si>
  <si>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</si>
  <si>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</si>
  <si>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</si>
  <si>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</si>
  <si>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</si>
  <si>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</si>
  <si>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</si>
  <si>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</si>
  <si>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</si>
  <si>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</si>
  <si>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</si>
  <si>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</si>
  <si>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</si>
  <si>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</si>
  <si>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</si>
  <si>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</si>
  <si>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</si>
  <si>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</si>
  <si>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</si>
  <si>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</si>
  <si>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</si>
  <si>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</si>
  <si>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</si>
  <si>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</si>
  <si>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</si>
  <si>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</si>
  <si>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</si>
  <si>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</si>
  <si>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</si>
  <si>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</si>
  <si>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</si>
  <si>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</si>
  <si>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</si>
  <si>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</si>
  <si>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</si>
  <si>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</si>
  <si>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</si>
  <si>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</si>
  <si>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</si>
  <si>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</si>
  <si>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</si>
  <si>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</si>
  <si>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</si>
  <si>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</si>
  <si>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</si>
  <si>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</si>
  <si>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</si>
  <si>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</si>
  <si>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</si>
  <si>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</si>
  <si>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</si>
  <si>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</si>
  <si>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</si>
  <si>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</si>
  <si>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</si>
  <si>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</si>
  <si>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</si>
  <si>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</si>
  <si>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</si>
  <si>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</si>
  <si>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</si>
  <si>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</si>
  <si>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</si>
  <si>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</si>
  <si>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</si>
  <si>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</si>
  <si>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</si>
  <si>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</si>
  <si>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</si>
  <si>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</si>
  <si>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</si>
  <si>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</si>
  <si>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</si>
  <si>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</si>
  <si>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</si>
  <si>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</si>
  <si>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</si>
  <si>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</si>
  <si>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</si>
  <si>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</si>
  <si>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</si>
  <si>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</si>
  <si>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</si>
  <si>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</si>
  <si>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</si>
  <si>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</si>
  <si>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</si>
  <si>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</si>
  <si>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</si>
  <si>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</si>
  <si>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</si>
  <si>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</si>
  <si>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</si>
  <si>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</si>
  <si>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</si>
  <si>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</si>
  <si>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</si>
  <si>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</si>
  <si>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</si>
  <si>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</si>
  <si>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</si>
  <si>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</si>
  <si>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</si>
  <si>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</si>
  <si>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</si>
  <si>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</si>
  <si>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</si>
  <si>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</si>
  <si>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</si>
  <si>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</si>
  <si>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</si>
  <si>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</si>
  <si>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</si>
  <si>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</si>
  <si>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</si>
  <si>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</si>
  <si>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</si>
  <si>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</si>
  <si>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</si>
  <si>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</si>
  <si>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</si>
  <si>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</si>
  <si>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</si>
  <si>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</si>
  <si>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</si>
  <si>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</si>
  <si>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</si>
  <si>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</si>
  <si>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</si>
  <si>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</si>
  <si>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</si>
  <si>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</si>
  <si>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</si>
  <si>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</si>
  <si>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</si>
  <si>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</si>
  <si>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</si>
  <si>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</si>
  <si>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</si>
  <si>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</si>
  <si>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</si>
  <si>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</si>
  <si>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</si>
  <si>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</si>
  <si>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</si>
  <si>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</si>
  <si>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</si>
  <si>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</si>
  <si>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</si>
  <si>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</si>
  <si>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</si>
  <si>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</si>
  <si>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</si>
  <si>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</si>
  <si>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</si>
  <si>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</si>
  <si>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</si>
  <si>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</si>
  <si>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</si>
  <si>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</si>
  <si>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</si>
  <si>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</si>
  <si>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</si>
  <si>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</si>
  <si>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</si>
  <si>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</si>
  <si>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</si>
  <si>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</si>
  <si>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</si>
  <si>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</si>
  <si>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</si>
  <si>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</si>
  <si>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</si>
  <si>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</si>
  <si>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</si>
  <si>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</si>
  <si>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</si>
  <si>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</si>
  <si>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</si>
  <si>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</si>
  <si>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</si>
  <si>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</si>
  <si>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</si>
  <si>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</si>
  <si>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</si>
  <si>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</si>
  <si>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</si>
  <si>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</si>
  <si>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</si>
  <si>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</si>
  <si>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</si>
  <si>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</si>
  <si>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</si>
  <si>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</si>
  <si>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</si>
  <si>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</si>
  <si>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</si>
  <si>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</si>
  <si>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</si>
  <si>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</si>
  <si>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</si>
  <si>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</si>
  <si>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</si>
  <si>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</si>
  <si>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</si>
  <si>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</si>
  <si>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</si>
  <si>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</si>
  <si>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</si>
  <si>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</si>
  <si>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</si>
  <si>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</si>
  <si>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</si>
  <si>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</si>
  <si>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</si>
  <si>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</si>
  <si>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</si>
  <si>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</si>
  <si>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</si>
  <si>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</si>
  <si>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</si>
  <si>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</si>
  <si>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</si>
  <si>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</si>
  <si>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</si>
  <si>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</si>
  <si>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</si>
  <si>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</si>
  <si>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</si>
  <si>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</si>
  <si>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</si>
  <si>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</si>
  <si>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</si>
  <si>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</si>
  <si>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</si>
  <si>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</si>
  <si>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</si>
  <si>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</si>
  <si>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</si>
  <si>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</si>
  <si>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</si>
  <si>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</si>
  <si>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</si>
  <si>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</si>
  <si>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</si>
  <si>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</si>
  <si>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</si>
  <si>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</si>
  <si>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</si>
  <si>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</si>
  <si>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</si>
  <si>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</si>
  <si>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</si>
  <si>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</si>
  <si>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</si>
  <si>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</si>
  <si>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</si>
  <si>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</si>
  <si>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</si>
  <si>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</si>
  <si>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</si>
  <si>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</si>
  <si>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</si>
  <si>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</si>
  <si>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</si>
  <si>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</si>
  <si>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</si>
  <si>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</si>
  <si>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</si>
  <si>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</si>
  <si>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</si>
  <si>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</si>
  <si>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</si>
  <si>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</si>
  <si>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</si>
  <si>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</si>
  <si>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</si>
  <si>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</si>
  <si>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</si>
  <si>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</si>
  <si>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</si>
  <si>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</si>
  <si>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</si>
  <si>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</si>
  <si>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</si>
  <si>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</si>
  <si>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</si>
  <si>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</si>
  <si>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</si>
  <si>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</si>
  <si>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</si>
  <si>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</si>
  <si>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</si>
  <si>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</si>
  <si>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</si>
  <si>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</si>
  <si>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</si>
  <si>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</si>
  <si>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</si>
  <si>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</si>
  <si>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</si>
  <si>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</si>
  <si>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</si>
  <si>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</si>
  <si>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</si>
  <si>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</si>
  <si>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</si>
  <si>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</si>
  <si>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</si>
  <si>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</si>
  <si>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</si>
  <si>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</si>
  <si>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</si>
  <si>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</si>
  <si>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</si>
  <si>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</si>
  <si>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</si>
  <si>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</si>
  <si>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</si>
  <si>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</si>
  <si>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</si>
  <si>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</si>
  <si>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</si>
  <si>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</si>
  <si>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</si>
  <si>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</si>
  <si>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</si>
  <si>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</si>
  <si>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</si>
  <si>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</si>
  <si>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</si>
  <si>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</si>
  <si>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</si>
  <si>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</si>
  <si>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</si>
  <si>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</si>
  <si>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</si>
  <si>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</si>
  <si>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</si>
  <si>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</si>
  <si>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</si>
  <si>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</si>
  <si>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</si>
  <si>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</si>
  <si>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</si>
  <si>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</si>
  <si>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</si>
  <si>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</si>
  <si>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</si>
  <si>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</si>
  <si>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</si>
  <si>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</si>
  <si>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</si>
  <si>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</si>
  <si>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</si>
  <si>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</si>
  <si>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</si>
  <si>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</si>
  <si>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</si>
  <si>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</si>
  <si>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</si>
  <si>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</si>
  <si>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</si>
  <si>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</si>
  <si>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</si>
  <si>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</si>
  <si>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</si>
  <si>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</si>
  <si>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</si>
  <si>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</si>
  <si>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</si>
  <si>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</si>
  <si>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</si>
  <si>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</si>
  <si>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</si>
  <si>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</si>
  <si>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</si>
  <si>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</si>
  <si>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</si>
  <si>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</si>
  <si>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</si>
  <si>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</si>
  <si>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</si>
  <si>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</si>
  <si>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</si>
  <si>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</si>
  <si>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</si>
  <si>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</si>
  <si>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</si>
  <si>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</si>
  <si>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</si>
  <si>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</si>
  <si>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</si>
  <si>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</si>
  <si>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</si>
  <si>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</si>
  <si>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</si>
  <si>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</si>
  <si>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</si>
  <si>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</si>
  <si>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</si>
  <si>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</si>
  <si>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</si>
  <si>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</si>
  <si>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</si>
  <si>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</si>
  <si>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</si>
  <si>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</si>
  <si>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</si>
  <si>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</si>
  <si>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</si>
  <si>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</si>
  <si>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</si>
  <si>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</si>
  <si>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</si>
  <si>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</si>
  <si>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</si>
  <si>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</si>
  <si>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</si>
  <si>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</si>
  <si>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</si>
  <si>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</si>
  <si>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</si>
  <si>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</si>
  <si>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</si>
  <si>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</si>
  <si>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</si>
  <si>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</si>
  <si>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</si>
  <si>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</si>
  <si>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</si>
  <si>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</si>
  <si>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</si>
  <si>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</si>
  <si>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</si>
  <si>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</si>
  <si>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</si>
  <si>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</si>
  <si>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</si>
  <si>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</si>
  <si>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</si>
  <si>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</si>
  <si>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</si>
  <si>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</si>
  <si>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</si>
  <si>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</si>
  <si>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</si>
  <si>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</si>
  <si>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</si>
  <si>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</si>
  <si>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</si>
  <si>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</si>
  <si>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</si>
  <si>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</si>
  <si>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</si>
  <si>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</si>
  <si>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</si>
  <si>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</si>
  <si>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</si>
  <si>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</si>
  <si>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</si>
  <si>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</si>
  <si>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</si>
  <si>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</si>
  <si>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</si>
  <si>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</si>
  <si>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</si>
  <si>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</si>
  <si>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</si>
  <si>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</si>
  <si>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</si>
  <si>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</si>
  <si>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</si>
  <si>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</si>
  <si>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</si>
  <si>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</si>
  <si>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</si>
  <si>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</si>
  <si>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</si>
  <si>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</si>
  <si>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</si>
  <si>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</si>
  <si>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</si>
  <si>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</si>
  <si>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</si>
  <si>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</si>
  <si>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</si>
  <si>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</si>
  <si>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</si>
  <si>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</si>
  <si>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</si>
  <si>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</si>
  <si>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</si>
  <si>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</si>
  <si>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</si>
  <si>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</si>
  <si>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</si>
  <si>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</si>
  <si>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</si>
  <si>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</si>
  <si>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</si>
  <si>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</si>
  <si>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</si>
  <si>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</si>
  <si>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</si>
  <si>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</si>
  <si>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</si>
  <si>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</si>
  <si>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</si>
  <si>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</si>
  <si>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</si>
  <si>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</si>
  <si>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</si>
  <si>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</si>
  <si>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</si>
  <si>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</si>
  <si>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</si>
  <si>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</si>
  <si>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</si>
  <si>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</si>
  <si>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</si>
  <si>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</si>
  <si>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</si>
  <si>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</si>
  <si>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</si>
  <si>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</si>
  <si>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</si>
  <si>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</si>
  <si>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</si>
  <si>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</si>
  <si>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</si>
  <si>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</si>
  <si>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</si>
  <si>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</si>
  <si>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</si>
  <si>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</si>
  <si>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</si>
  <si>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</si>
  <si>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</si>
  <si>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</si>
  <si>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</si>
  <si>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</si>
  <si>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</si>
  <si>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</si>
  <si>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</si>
  <si>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</si>
  <si>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</si>
  <si>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</si>
  <si>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</si>
  <si>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</si>
  <si>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</si>
  <si>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</si>
  <si>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</si>
  <si>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</si>
  <si>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</si>
  <si>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</si>
  <si>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</si>
  <si>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</si>
  <si>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</si>
  <si>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</si>
  <si>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</si>
  <si>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</si>
  <si>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</si>
  <si>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</si>
  <si>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</si>
  <si>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</si>
  <si>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</si>
  <si>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</si>
  <si>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</si>
  <si>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</si>
  <si>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</si>
  <si>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</si>
  <si>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</si>
  <si>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</si>
  <si>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</si>
  <si>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</si>
  <si>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</si>
  <si>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</si>
  <si>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</si>
  <si>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</si>
  <si>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</si>
  <si>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</si>
  <si>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</si>
  <si>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</si>
  <si>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</si>
  <si>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</si>
  <si>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</si>
  <si>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</si>
  <si>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</si>
  <si>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</si>
  <si>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</si>
  <si>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</si>
  <si>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</si>
  <si>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</si>
  <si>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</si>
  <si>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</si>
  <si>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</si>
  <si>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</si>
  <si>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</si>
  <si>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</si>
  <si>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</si>
  <si>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</si>
  <si>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</si>
  <si>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</si>
  <si>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</si>
  <si>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</si>
  <si>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</si>
  <si>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</si>
  <si>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</si>
  <si>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</si>
  <si>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</si>
  <si>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</si>
  <si>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</si>
  <si>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</si>
  <si>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</si>
  <si>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</si>
  <si>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</si>
  <si>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</si>
  <si>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</si>
  <si>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</si>
  <si>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</si>
  <si>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</si>
  <si>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</si>
  <si>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</si>
  <si>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</si>
  <si>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</si>
  <si>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</si>
  <si>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</si>
  <si>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</si>
  <si>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</si>
  <si>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</si>
  <si>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</si>
  <si>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</si>
  <si>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</si>
  <si>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</si>
  <si>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</si>
  <si>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</si>
  <si>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</si>
  <si>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</si>
  <si>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</si>
  <si>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</si>
  <si>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</si>
  <si>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</si>
  <si>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</si>
  <si>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</si>
  <si>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</si>
  <si>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</si>
  <si>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</si>
  <si>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</si>
  <si>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</si>
  <si>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</si>
  <si>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</si>
  <si>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</si>
  <si>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</si>
  <si>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</si>
  <si>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</si>
  <si>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</si>
  <si>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</si>
  <si>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</si>
  <si>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</si>
  <si>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</si>
  <si>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</si>
  <si>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</si>
  <si>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</si>
  <si>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</si>
  <si>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</si>
  <si>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</si>
  <si>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</si>
  <si>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</si>
  <si>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</si>
  <si>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</si>
  <si>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</si>
  <si>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</si>
  <si>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</si>
  <si>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</si>
  <si>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</si>
  <si>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</si>
  <si>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</si>
  <si>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</si>
  <si>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</si>
  <si>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</si>
  <si>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</si>
  <si>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</si>
  <si>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</si>
  <si>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</si>
  <si>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</si>
  <si>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</si>
  <si>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</si>
  <si>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</si>
  <si>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</si>
  <si>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</si>
  <si>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</si>
  <si>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</si>
  <si>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</si>
  <si>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</si>
  <si>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</si>
  <si>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</si>
  <si>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</si>
  <si>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</si>
  <si>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</si>
  <si>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</si>
  <si>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</si>
  <si>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</si>
  <si>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</si>
  <si>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</si>
  <si>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</si>
  <si>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</si>
  <si>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</si>
  <si>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</si>
  <si>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</si>
  <si>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</si>
  <si>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</si>
  <si>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</si>
  <si>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</si>
  <si>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</si>
  <si>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</si>
  <si>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</si>
  <si>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</si>
  <si>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</si>
  <si>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</si>
  <si>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</si>
  <si>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</si>
  <si>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</si>
  <si>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</si>
  <si>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</si>
  <si>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</si>
  <si>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</si>
  <si>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</si>
  <si>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</si>
  <si>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</si>
  <si>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</si>
  <si>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</si>
  <si>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</si>
  <si>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</si>
  <si>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</si>
  <si>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</si>
  <si>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</si>
  <si>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</si>
  <si>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</si>
  <si>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</si>
  <si>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</si>
  <si>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</si>
  <si>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</si>
  <si>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</si>
  <si>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</si>
  <si>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</si>
  <si>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</si>
  <si>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</si>
  <si>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</si>
  <si>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</si>
  <si>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</si>
  <si>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</si>
  <si>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</si>
  <si>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</si>
  <si>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</si>
  <si>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</si>
  <si>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</si>
  <si>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</si>
  <si>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</si>
  <si>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</si>
  <si>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</si>
  <si>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</si>
  <si>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</si>
  <si>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</si>
  <si>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</si>
  <si>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</si>
  <si>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</si>
  <si>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</si>
  <si>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</si>
  <si>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</si>
  <si>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</si>
  <si>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</si>
  <si>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</si>
  <si>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</si>
  <si>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</si>
  <si>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</si>
  <si>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</si>
  <si>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</si>
  <si>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</si>
  <si>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</si>
  <si>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</si>
  <si>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</si>
  <si>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</si>
  <si>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</si>
  <si>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</si>
  <si>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</si>
  <si>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</si>
  <si>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</si>
  <si>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</si>
  <si>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</si>
  <si>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</si>
  <si>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</si>
  <si>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</si>
  <si>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</si>
  <si>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</si>
  <si>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</si>
  <si>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</si>
  <si>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</si>
  <si>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</si>
  <si>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</si>
  <si>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</si>
  <si>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</si>
  <si>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</si>
  <si>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</si>
  <si>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</si>
  <si>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</si>
  <si>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</si>
  <si>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</si>
  <si>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</si>
  <si>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</si>
  <si>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</si>
  <si>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</si>
  <si>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</si>
  <si>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</si>
  <si>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</si>
  <si>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</si>
  <si>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</si>
  <si>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</si>
  <si>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</si>
  <si>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</si>
  <si>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</si>
  <si>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</si>
  <si>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</si>
  <si>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</si>
  <si>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</si>
  <si>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</si>
  <si>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</si>
  <si>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</si>
  <si>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</si>
  <si>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</si>
  <si>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</si>
  <si>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</si>
  <si>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</si>
  <si>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</si>
  <si>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</si>
  <si>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</si>
  <si>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</si>
  <si>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</si>
  <si>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</si>
  <si>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</si>
  <si>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</si>
  <si>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</si>
  <si>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</si>
  <si>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</si>
  <si>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</si>
  <si>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</si>
  <si>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</si>
  <si>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</si>
  <si>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</si>
  <si>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</si>
  <si>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</si>
  <si>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</si>
  <si>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</si>
  <si>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</si>
  <si>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</si>
  <si>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</si>
  <si>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</si>
  <si>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</si>
  <si>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</si>
  <si>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</si>
  <si>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</si>
  <si>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</si>
  <si>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</si>
  <si>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</si>
  <si>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</si>
  <si>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</si>
  <si>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</si>
  <si>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</si>
  <si>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</si>
  <si>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</si>
  <si>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</si>
  <si>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</si>
  <si>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</si>
  <si>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</si>
  <si>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</si>
  <si>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</si>
  <si>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</si>
  <si>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</si>
  <si>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</si>
  <si>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</si>
  <si>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</si>
  <si>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</si>
  <si>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</si>
  <si>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</si>
  <si>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</si>
  <si>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</si>
  <si>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</si>
  <si>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</si>
  <si>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</si>
  <si>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</si>
  <si>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</si>
  <si>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</si>
  <si>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</si>
  <si>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</si>
  <si>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</si>
  <si>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</si>
  <si>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</si>
  <si>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</si>
  <si>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</si>
  <si>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</si>
  <si>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</si>
  <si>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</si>
  <si>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</si>
  <si>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</si>
  <si>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</si>
  <si>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</si>
  <si>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</si>
  <si>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</si>
  <si>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</si>
  <si>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</si>
  <si>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</si>
  <si>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</si>
  <si>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</si>
  <si>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</si>
  <si>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</si>
  <si>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</si>
  <si>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</si>
  <si>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</si>
  <si>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</si>
  <si>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</si>
  <si>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</si>
  <si>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</si>
  <si>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</si>
  <si>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</si>
  <si>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</si>
  <si>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</si>
  <si>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</si>
  <si>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</si>
  <si>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</si>
  <si>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</si>
  <si>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</si>
  <si>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</si>
  <si>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</si>
  <si>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</si>
  <si>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</si>
  <si>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</si>
  <si>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</si>
  <si>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</si>
  <si>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</si>
  <si>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</si>
  <si>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</si>
  <si>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</si>
  <si>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</si>
  <si>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</si>
  <si>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</si>
  <si>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</si>
  <si>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</si>
  <si>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</si>
  <si>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</si>
  <si>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</si>
  <si>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</si>
  <si>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</si>
  <si>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</si>
  <si>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</si>
  <si>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</si>
  <si>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</si>
  <si>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</si>
  <si>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</si>
  <si>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</si>
  <si>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</si>
  <si>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</si>
  <si>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</si>
  <si>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</si>
  <si>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</si>
  <si>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</si>
  <si>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</si>
  <si>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</si>
  <si>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</si>
  <si>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</si>
  <si>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</si>
  <si>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</si>
  <si>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</si>
  <si>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</si>
  <si>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</si>
  <si>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</si>
  <si>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</si>
  <si>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</si>
  <si>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</si>
  <si>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</si>
  <si>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</si>
  <si>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</si>
  <si>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</si>
  <si>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</si>
  <si>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</si>
  <si>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</si>
  <si>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</si>
  <si>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</si>
  <si>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</si>
  <si>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</si>
  <si>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</si>
  <si>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</si>
  <si>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</si>
  <si>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</si>
  <si>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</si>
  <si>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</si>
  <si>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</si>
  <si>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</si>
  <si>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</si>
  <si>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</si>
  <si>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</si>
  <si>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</si>
  <si>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</si>
  <si>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</si>
  <si>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</si>
  <si>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</si>
  <si>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</si>
  <si>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</si>
  <si>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</si>
  <si>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</si>
  <si>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</si>
  <si>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</si>
  <si>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</si>
  <si>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</si>
  <si>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</si>
  <si>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</si>
  <si>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</si>
  <si>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</si>
  <si>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</si>
  <si>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</si>
  <si>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</si>
  <si>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</si>
  <si>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</si>
  <si>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</si>
  <si>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</si>
  <si>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</si>
  <si>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</si>
  <si>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</si>
  <si>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</si>
  <si>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</si>
  <si>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</si>
  <si>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</si>
  <si>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</si>
  <si>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</si>
  <si>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</si>
  <si>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</si>
  <si>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</si>
  <si>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</si>
  <si>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</si>
  <si>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</si>
  <si>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</si>
  <si>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</si>
  <si>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</si>
  <si>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</si>
  <si>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</si>
  <si>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</si>
  <si>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</si>
  <si>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</si>
  <si>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</si>
  <si>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</si>
  <si>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</si>
  <si>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</si>
  <si>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</si>
  <si>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</si>
  <si>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</si>
  <si>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</si>
  <si>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</si>
  <si>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</si>
  <si>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</si>
  <si>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</si>
  <si>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</si>
  <si>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</si>
  <si>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</si>
  <si>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</si>
  <si>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</si>
  <si>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</si>
  <si>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</si>
  <si>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</si>
  <si>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</si>
  <si>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</si>
  <si>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</si>
  <si>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</si>
  <si>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</si>
  <si>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</si>
  <si>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</si>
  <si>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</si>
  <si>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</si>
  <si>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</si>
  <si>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</si>
  <si>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</si>
  <si>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</si>
  <si>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</si>
  <si>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</si>
  <si>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</si>
  <si>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</si>
  <si>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</si>
  <si>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</si>
  <si>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</si>
  <si>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</si>
  <si>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</si>
  <si>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</si>
  <si>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</si>
  <si>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</si>
  <si>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</si>
  <si>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</si>
  <si>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</si>
  <si>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</si>
  <si>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</si>
  <si>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</si>
  <si>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</si>
  <si>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</si>
  <si>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</si>
  <si>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</si>
  <si>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</si>
  <si>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</si>
  <si>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</si>
  <si>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</si>
  <si>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</si>
  <si>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</si>
  <si>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</si>
  <si>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</si>
  <si>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</si>
  <si>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</si>
  <si>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</si>
  <si>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</si>
  <si>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</si>
  <si>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</si>
  <si>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</si>
  <si>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</si>
  <si>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</si>
  <si>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</si>
  <si>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</si>
  <si>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</si>
  <si>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</si>
  <si>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</si>
  <si>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</si>
  <si>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</si>
  <si>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</si>
  <si>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</si>
  <si>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</si>
  <si>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</si>
  <si>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</si>
  <si>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</si>
  <si>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</si>
  <si>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</si>
  <si>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</si>
  <si>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</si>
  <si>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</si>
  <si>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</si>
  <si>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</si>
  <si>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</si>
  <si>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</si>
  <si>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</si>
  <si>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</si>
  <si>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</si>
  <si>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</si>
  <si>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</si>
  <si>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</si>
  <si>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</si>
  <si>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</si>
  <si>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</si>
  <si>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</si>
  <si>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</si>
  <si>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</si>
  <si>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</si>
  <si>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</si>
  <si>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</si>
  <si>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</si>
  <si>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</si>
  <si>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</si>
  <si>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</si>
  <si>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</si>
  <si>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</si>
  <si>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</si>
  <si>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</si>
  <si>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</si>
  <si>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</si>
  <si>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</si>
  <si>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</si>
  <si>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</si>
  <si>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</si>
  <si>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</si>
  <si>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</si>
  <si>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</si>
  <si>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</si>
  <si>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</si>
  <si>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</si>
  <si>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</si>
  <si>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</si>
  <si>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</si>
  <si>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</si>
  <si>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</si>
  <si>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</si>
  <si>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</si>
  <si>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</si>
  <si>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</si>
  <si>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</si>
  <si>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</si>
  <si>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</si>
  <si>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</si>
  <si>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</si>
  <si>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</si>
  <si>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</si>
  <si>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</si>
  <si>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</si>
  <si>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</si>
  <si>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</si>
  <si>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</si>
  <si>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</si>
  <si>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</si>
  <si>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</si>
  <si>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</si>
  <si>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</si>
  <si>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</si>
  <si>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</si>
  <si>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</si>
  <si>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</si>
  <si>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</si>
  <si>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</si>
  <si>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</si>
  <si>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</si>
  <si>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</si>
  <si>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</si>
  <si>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</si>
  <si>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</si>
  <si>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</si>
  <si>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</si>
  <si>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</si>
  <si>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</si>
  <si>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</si>
  <si>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</si>
  <si>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</si>
  <si>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</si>
  <si>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</si>
  <si>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</si>
  <si>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</si>
  <si>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</si>
  <si>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</si>
  <si>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</si>
  <si>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</si>
  <si>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</si>
  <si>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</si>
  <si>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</si>
  <si>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</si>
  <si>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</si>
  <si>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</si>
  <si>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</si>
  <si>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</si>
  <si>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</si>
  <si>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</si>
  <si>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</si>
  <si>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</si>
  <si>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</si>
  <si>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</si>
  <si>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</si>
  <si>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</si>
  <si>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</si>
  <si>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</si>
  <si>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</si>
  <si>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</si>
  <si>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</si>
  <si>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</si>
  <si>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</si>
  <si>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</si>
  <si>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</si>
  <si>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</si>
  <si>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</si>
  <si>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</si>
  <si>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</si>
  <si>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</si>
  <si>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</si>
  <si>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</si>
  <si>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</si>
  <si>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</si>
  <si>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</si>
  <si>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</si>
  <si>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</si>
  <si>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</si>
  <si>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</si>
  <si>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</si>
  <si>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</si>
  <si>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</si>
  <si>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</si>
  <si>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</si>
  <si>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</si>
  <si>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</si>
  <si>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</si>
  <si>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</si>
  <si>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</si>
  <si>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</si>
  <si>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</si>
  <si>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</si>
  <si>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</si>
  <si>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</si>
  <si>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</si>
  <si>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</si>
  <si>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</si>
  <si>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</si>
  <si>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</si>
  <si>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</si>
  <si>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</si>
  <si>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</si>
  <si>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</si>
  <si>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</si>
  <si>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</si>
  <si>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</si>
  <si>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</si>
  <si>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</si>
  <si>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</si>
  <si>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</si>
  <si>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</si>
  <si>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</si>
  <si>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</si>
  <si>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</si>
  <si>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</si>
  <si>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</si>
  <si>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</si>
  <si>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</si>
  <si>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</si>
  <si>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</si>
  <si>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</si>
  <si>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</si>
  <si>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</si>
  <si>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</si>
  <si>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</si>
  <si>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</si>
  <si>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</si>
  <si>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</si>
  <si>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</si>
  <si>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</si>
  <si>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</si>
  <si>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</si>
  <si>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</si>
  <si>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</si>
  <si>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</si>
  <si>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</si>
  <si>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</si>
  <si>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</si>
  <si>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</si>
  <si>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</si>
  <si>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</si>
  <si>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</si>
  <si>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</si>
  <si>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</si>
  <si>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</si>
  <si>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</si>
  <si>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</si>
  <si>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</si>
  <si>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</si>
  <si>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</si>
  <si>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</si>
  <si>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</si>
  <si>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</si>
  <si>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</si>
  <si>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</si>
  <si>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</si>
  <si>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</si>
  <si>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</si>
  <si>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</si>
  <si>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</si>
  <si>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</si>
  <si>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</si>
  <si>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</si>
  <si>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</si>
  <si>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</si>
  <si>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</si>
  <si>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</si>
  <si>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</si>
  <si>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</si>
  <si>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</si>
  <si>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</si>
  <si>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</si>
  <si>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</si>
  <si>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</si>
  <si>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</si>
  <si>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</si>
  <si>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</si>
  <si>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</si>
  <si>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</si>
  <si>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</si>
  <si>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</si>
  <si>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</si>
  <si>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</si>
  <si>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</si>
  <si>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</si>
  <si>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</si>
  <si>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</si>
  <si>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</si>
  <si>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</si>
  <si>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</si>
  <si>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</si>
  <si>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</si>
  <si>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</si>
  <si>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</si>
  <si>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</si>
  <si>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</si>
  <si>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</si>
  <si>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</si>
  <si>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</si>
  <si>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</si>
  <si>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</si>
  <si>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</si>
  <si>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</si>
  <si>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</si>
  <si>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</si>
  <si>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</si>
  <si>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</si>
  <si>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</si>
  <si>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</si>
  <si>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</si>
  <si>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</si>
  <si>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</si>
  <si>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</si>
  <si>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</si>
  <si>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</si>
  <si>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</si>
  <si>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</si>
  <si>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</si>
  <si>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</si>
  <si>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</si>
  <si>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</si>
  <si>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</si>
  <si>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</si>
  <si>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</si>
  <si>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</si>
  <si>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</si>
  <si>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</si>
  <si>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</si>
  <si>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</si>
  <si>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</si>
  <si>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</si>
  <si>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</si>
  <si>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</si>
  <si>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</si>
  <si>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</si>
  <si>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</si>
  <si>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</si>
  <si>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</si>
  <si>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</si>
  <si>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</si>
  <si>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</si>
  <si>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</si>
  <si>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</si>
  <si>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</si>
  <si>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</si>
  <si>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</si>
  <si>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</si>
  <si>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</si>
  <si>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</si>
  <si>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</si>
  <si>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</si>
  <si>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</si>
  <si>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</si>
  <si>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</si>
  <si>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</si>
  <si>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</si>
  <si>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</si>
  <si>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</si>
  <si>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</si>
  <si>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</si>
  <si>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</si>
  <si>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</si>
  <si>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</si>
  <si>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</si>
  <si>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</si>
  <si>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</si>
  <si>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</si>
  <si>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</si>
  <si>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</si>
  <si>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</si>
  <si>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</si>
  <si>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</si>
  <si>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</si>
  <si>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</si>
  <si>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</si>
  <si>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</si>
  <si>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</si>
  <si>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</si>
  <si>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</si>
  <si>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</si>
  <si>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</si>
  <si>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</si>
  <si>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</si>
  <si>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</si>
  <si>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</si>
  <si>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</si>
  <si>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</si>
  <si>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</si>
  <si>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</si>
  <si>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</si>
  <si>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</si>
  <si>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</si>
  <si>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</si>
  <si>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</si>
  <si>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</si>
  <si>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</si>
  <si>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</si>
  <si>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</si>
  <si>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</si>
  <si>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</si>
  <si>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</si>
  <si>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</si>
  <si>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</si>
  <si>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</si>
  <si>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</si>
  <si>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</si>
  <si>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</si>
  <si>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</si>
  <si>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</si>
  <si>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</si>
  <si>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</si>
  <si>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</si>
  <si>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</si>
  <si>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</si>
  <si>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</si>
  <si>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</si>
  <si>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</si>
  <si>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</si>
  <si>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</si>
  <si>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</si>
  <si>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</si>
  <si>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</si>
  <si>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</si>
  <si>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</si>
  <si>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</si>
  <si>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</si>
  <si>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</si>
  <si>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</si>
  <si>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</si>
  <si>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</si>
  <si>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</si>
  <si>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</si>
  <si>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</si>
  <si>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</si>
  <si>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</si>
  <si>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</si>
  <si>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</si>
  <si>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</si>
  <si>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</si>
  <si>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</si>
  <si>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</si>
  <si>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</si>
  <si>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</si>
  <si>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</si>
  <si>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</si>
  <si>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</si>
  <si>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</si>
  <si>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</si>
  <si>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</si>
  <si>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</si>
  <si>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</si>
  <si>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</si>
  <si>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</si>
  <si>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</si>
  <si>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</si>
  <si>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</si>
  <si>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</si>
  <si>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</si>
  <si>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</si>
  <si>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</si>
  <si>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</si>
  <si>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</si>
  <si>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</si>
  <si>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</si>
  <si>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</si>
  <si>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</si>
  <si>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</si>
  <si>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</si>
  <si>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</si>
  <si>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</si>
  <si>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</si>
  <si>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</si>
  <si>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</si>
  <si>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</si>
  <si>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</si>
  <si>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</si>
  <si>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</si>
  <si>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</si>
  <si>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</si>
  <si>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</si>
  <si>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</si>
  <si>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</si>
  <si>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</si>
  <si>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</si>
  <si>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</si>
  <si>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</si>
  <si>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</si>
  <si>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</si>
  <si>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</si>
  <si>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</si>
  <si>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</si>
  <si>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</si>
  <si>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</si>
  <si>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</si>
  <si>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</si>
  <si>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</si>
  <si>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</si>
  <si>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</si>
  <si>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</si>
  <si>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</si>
  <si>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</si>
  <si>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</si>
  <si>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</si>
  <si>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</si>
  <si>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</si>
  <si>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</si>
  <si>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</si>
  <si>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</si>
  <si>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</si>
  <si>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</si>
  <si>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</si>
  <si>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</si>
  <si>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</si>
  <si>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</si>
  <si>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</si>
  <si>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</si>
  <si>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</si>
  <si>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</si>
  <si>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</si>
  <si>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</si>
  <si>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</si>
  <si>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</si>
  <si>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</si>
  <si>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</si>
  <si>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</si>
  <si>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</si>
  <si>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</si>
  <si>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</si>
  <si>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</si>
  <si>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</si>
  <si>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</si>
  <si>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</si>
  <si>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</si>
  <si>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</si>
  <si>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</si>
  <si>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</si>
  <si>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</si>
  <si>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</si>
  <si>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</si>
  <si>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</si>
  <si>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</si>
  <si>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</si>
  <si>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</si>
  <si>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</si>
  <si>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</si>
  <si>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</si>
  <si>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</si>
  <si>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</si>
  <si>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</si>
  <si>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</si>
  <si>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</si>
  <si>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</si>
  <si>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</si>
  <si>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</si>
  <si>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</si>
  <si>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</si>
  <si>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</si>
  <si>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</si>
  <si>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</si>
  <si>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</si>
  <si>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</si>
  <si>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</si>
  <si>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</si>
  <si>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</si>
  <si>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</si>
  <si>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</si>
  <si>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</si>
  <si>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</si>
  <si>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</si>
  <si>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</si>
  <si>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</si>
  <si>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</si>
  <si>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</si>
  <si>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</si>
  <si>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</si>
  <si>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</si>
  <si>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</si>
  <si>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</si>
  <si>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</si>
  <si>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</si>
  <si>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</si>
  <si>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</si>
  <si>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</si>
  <si>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</si>
  <si>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</si>
  <si>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</si>
  <si>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</si>
  <si>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</si>
  <si>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</si>
  <si>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</si>
  <si>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</si>
  <si>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</si>
  <si>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</si>
  <si>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</si>
  <si>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</si>
  <si>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</si>
  <si>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</si>
  <si>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</si>
  <si>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</si>
  <si>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</si>
  <si>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</si>
  <si>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</si>
  <si>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</si>
  <si>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</si>
  <si>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</si>
  <si>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</si>
  <si>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</si>
  <si>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</si>
  <si>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</si>
  <si>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</si>
  <si>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</si>
  <si>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</si>
  <si>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</si>
  <si>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</si>
  <si>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</si>
  <si>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</si>
  <si>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</si>
  <si>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</si>
  <si>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</si>
  <si>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</si>
  <si>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</si>
  <si>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</si>
  <si>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</si>
  <si>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</si>
  <si>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</si>
  <si>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</si>
  <si>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</si>
  <si>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</si>
  <si>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</si>
  <si>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</si>
  <si>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</si>
  <si>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</si>
  <si>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</si>
  <si>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</si>
  <si>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</si>
  <si>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</si>
  <si>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</si>
  <si>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</si>
  <si>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</si>
  <si>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</si>
  <si>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</si>
  <si>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</si>
  <si>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</si>
  <si>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</si>
  <si>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</si>
  <si>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</si>
  <si>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</si>
  <si>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</si>
  <si>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</si>
  <si>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</si>
  <si>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</si>
  <si>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</si>
  <si>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</si>
  <si>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</si>
  <si>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</si>
  <si>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</si>
  <si>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</si>
  <si>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</si>
  <si>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</si>
  <si>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</si>
  <si>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</si>
  <si>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</si>
  <si>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</si>
  <si>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</si>
  <si>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</si>
  <si>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</si>
  <si>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</si>
  <si>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</si>
  <si>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</si>
  <si>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</si>
  <si>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</si>
  <si>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</si>
  <si>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</si>
  <si>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</si>
  <si>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</si>
  <si>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</si>
  <si>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</si>
  <si>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</si>
  <si>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</si>
  <si>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</si>
  <si>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</si>
  <si>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</si>
  <si>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</si>
  <si>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</si>
  <si>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</si>
  <si>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</si>
  <si>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</si>
  <si>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</si>
  <si>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</si>
  <si>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</si>
  <si>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</si>
  <si>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</si>
  <si>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</si>
  <si>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</si>
  <si>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</si>
  <si>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</si>
  <si>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</si>
  <si>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</si>
  <si>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</si>
  <si>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</si>
  <si>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</si>
  <si>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</si>
  <si>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</si>
  <si>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</si>
  <si>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</si>
  <si>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</si>
  <si>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</si>
  <si>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</si>
  <si>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</si>
  <si>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</si>
  <si>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</si>
  <si>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</si>
  <si>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</si>
  <si>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</si>
  <si>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</si>
  <si>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</si>
  <si>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</si>
  <si>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</si>
  <si>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</si>
  <si>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</si>
  <si>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</si>
  <si>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</si>
  <si>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</si>
  <si>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</si>
  <si>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</si>
  <si>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</si>
  <si>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</si>
  <si>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</si>
  <si>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</si>
  <si>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</si>
  <si>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</si>
  <si>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</si>
  <si>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</si>
  <si>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</si>
  <si>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</si>
  <si>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</si>
  <si>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</si>
  <si>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</si>
  <si>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</si>
  <si>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</si>
  <si>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</si>
  <si>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</si>
  <si>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</si>
  <si>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</si>
  <si>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</si>
  <si>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</si>
  <si>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</si>
  <si>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</si>
  <si>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</si>
  <si>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</si>
  <si>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</si>
  <si>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</si>
  <si>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</si>
  <si>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</si>
  <si>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</si>
  <si>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</si>
  <si>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</si>
  <si>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</si>
  <si>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</si>
  <si>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</si>
  <si>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</si>
  <si>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</si>
  <si>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</si>
  <si>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</si>
  <si>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</si>
  <si>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</si>
  <si>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</si>
  <si>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</si>
  <si>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</si>
  <si>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</si>
  <si>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</si>
  <si>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</si>
  <si>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</si>
  <si>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</si>
  <si>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</si>
  <si>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</si>
  <si>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</si>
  <si>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</si>
  <si>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</si>
  <si>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</si>
  <si>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</si>
  <si>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</si>
  <si>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</si>
  <si>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</si>
  <si>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</si>
  <si>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</si>
  <si>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</si>
  <si>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</si>
  <si>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</si>
  <si>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</si>
  <si>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</si>
  <si>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</si>
  <si>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</si>
  <si>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</si>
  <si>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</si>
  <si>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</si>
  <si>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</si>
  <si>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</si>
  <si>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</si>
  <si>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</si>
  <si>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</si>
  <si>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</si>
  <si>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</si>
  <si>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</si>
  <si>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</si>
  <si>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</si>
  <si>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</si>
  <si>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</si>
  <si>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</si>
  <si>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</si>
  <si>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</si>
  <si>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</si>
  <si>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</si>
  <si>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</si>
  <si>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</si>
  <si>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</si>
  <si>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</si>
  <si>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</si>
  <si>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</si>
  <si>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</si>
  <si>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</si>
  <si>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</si>
  <si>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</si>
  <si>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</si>
  <si>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</si>
  <si>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</si>
  <si>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</si>
  <si>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</si>
  <si>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</si>
  <si>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</si>
  <si>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</si>
  <si>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</si>
  <si>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</si>
  <si>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</si>
  <si>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</si>
  <si>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</si>
  <si>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</si>
  <si>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</si>
  <si>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</si>
  <si>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</si>
  <si>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</si>
  <si>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</si>
  <si>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</si>
  <si>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</si>
  <si>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</si>
  <si>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</si>
  <si>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</si>
  <si>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</si>
  <si>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</si>
  <si>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</si>
  <si>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</si>
  <si>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</si>
  <si>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</si>
  <si>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</si>
  <si>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</si>
  <si>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</si>
  <si>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</si>
  <si>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</si>
  <si>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</si>
  <si>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</si>
  <si>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</si>
  <si>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</si>
  <si>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</si>
  <si>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</si>
  <si>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</si>
  <si>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</si>
  <si>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</si>
  <si>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</si>
  <si>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</si>
  <si>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</si>
  <si>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</si>
  <si>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</si>
  <si>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</si>
  <si>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</si>
  <si>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</si>
  <si>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</si>
  <si>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</si>
  <si>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</si>
  <si>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</si>
  <si>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</si>
  <si>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</si>
  <si>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</si>
  <si>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</si>
  <si>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</si>
  <si>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</si>
  <si>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</si>
  <si>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</si>
  <si>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</si>
  <si>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</si>
  <si>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</si>
  <si>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</si>
  <si>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</si>
  <si>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</si>
  <si>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</si>
  <si>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</si>
  <si>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</si>
  <si>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</si>
  <si>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</si>
  <si>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</si>
  <si>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</si>
  <si>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</si>
  <si>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</si>
  <si>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</si>
  <si>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</si>
  <si>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</si>
  <si>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</si>
  <si>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</si>
  <si>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</si>
  <si>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</si>
  <si>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</si>
  <si>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</si>
  <si>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</si>
  <si>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</si>
  <si>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</si>
  <si>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</si>
  <si>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</si>
  <si>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</si>
  <si>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</si>
  <si>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</si>
  <si>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</si>
  <si>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</si>
  <si>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</si>
  <si>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</si>
  <si>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</si>
  <si>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</si>
  <si>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</si>
  <si>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</si>
  <si>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</si>
  <si>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</si>
  <si>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</si>
  <si>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</si>
  <si>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</si>
  <si>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</si>
  <si>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</si>
  <si>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</si>
  <si>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</si>
  <si>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</si>
  <si>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</si>
  <si>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</si>
  <si>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</si>
  <si>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</si>
  <si>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</si>
  <si>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</si>
  <si>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</si>
  <si>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</si>
  <si>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</si>
  <si>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</si>
  <si>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</si>
  <si>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</si>
  <si>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</si>
  <si>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</si>
  <si>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</si>
  <si>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</si>
  <si>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</si>
  <si>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</si>
  <si>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</si>
  <si>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</si>
  <si>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</si>
  <si>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</si>
  <si>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</si>
  <si>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</si>
  <si>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</si>
  <si>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</si>
  <si>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</si>
  <si>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</si>
  <si>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</si>
  <si>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</si>
  <si>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</si>
  <si>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</si>
  <si>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</si>
  <si>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</si>
  <si>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</si>
  <si>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</si>
  <si>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</si>
  <si>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</si>
  <si>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</si>
  <si>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</si>
  <si>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</si>
  <si>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</si>
  <si>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</si>
  <si>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</si>
  <si>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</si>
  <si>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</si>
  <si>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</si>
  <si>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</si>
  <si>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</si>
  <si>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</si>
  <si>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</si>
  <si>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</si>
  <si>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</si>
  <si>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</si>
  <si>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</si>
  <si>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</si>
  <si>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</si>
  <si>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</si>
  <si>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</si>
  <si>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</si>
  <si>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</si>
  <si>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</si>
  <si>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</si>
  <si>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</si>
  <si>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</si>
  <si>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</si>
  <si>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</si>
  <si>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</si>
  <si>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</si>
  <si>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</si>
  <si>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</si>
  <si>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</si>
  <si>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</si>
  <si>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</si>
  <si>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</si>
  <si>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</si>
  <si>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</si>
  <si>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</si>
  <si>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</si>
  <si>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</si>
  <si>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</si>
  <si>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</si>
  <si>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</si>
  <si>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</si>
  <si>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</si>
  <si>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</si>
  <si>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</si>
  <si>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</si>
  <si>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</si>
  <si>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</si>
  <si>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</si>
  <si>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</si>
  <si>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</si>
  <si>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</si>
  <si>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</si>
  <si>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</si>
  <si>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</si>
  <si>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</si>
  <si>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</si>
  <si>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</si>
  <si>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</si>
  <si>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</si>
  <si>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</si>
  <si>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</si>
  <si>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</si>
  <si>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</si>
  <si>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</si>
  <si>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</si>
  <si>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</si>
  <si>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</si>
  <si>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</si>
  <si>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</si>
  <si>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</si>
  <si>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</si>
  <si>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</si>
  <si>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</si>
  <si>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</si>
  <si>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</si>
  <si>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</si>
  <si>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</si>
  <si>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</si>
  <si>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</si>
  <si>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</si>
  <si>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</si>
  <si>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</si>
  <si>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</si>
  <si>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</si>
  <si>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</si>
  <si>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</si>
  <si>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</si>
  <si>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</si>
  <si>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</si>
  <si>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</si>
  <si>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</si>
  <si>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</si>
  <si>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</si>
  <si>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</si>
  <si>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</si>
  <si>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</si>
  <si>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</si>
  <si>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</si>
  <si>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</si>
  <si>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</si>
  <si>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</si>
  <si>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</si>
  <si>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</si>
  <si>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</si>
  <si>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</si>
  <si>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</si>
  <si>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</si>
  <si>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</si>
  <si>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</si>
  <si>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</si>
  <si>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</si>
  <si>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</si>
  <si>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</si>
  <si>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</si>
  <si>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</si>
  <si>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</si>
  <si>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</si>
  <si>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</si>
  <si>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</si>
  <si>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</si>
  <si>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</si>
  <si>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</si>
  <si>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</si>
  <si>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</si>
  <si>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</si>
  <si>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</si>
  <si>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</si>
  <si>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</si>
  <si>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</si>
  <si>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</si>
  <si>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</si>
  <si>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</si>
  <si>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</si>
  <si>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</si>
  <si>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</si>
  <si>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</si>
  <si>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</si>
  <si>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</si>
  <si>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</si>
  <si>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</si>
  <si>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</si>
  <si>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</si>
  <si>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</si>
  <si>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</si>
  <si>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</si>
  <si>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</si>
  <si>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</si>
  <si>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</si>
  <si>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</si>
  <si>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</si>
  <si>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</si>
  <si>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</si>
  <si>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</si>
  <si>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</si>
  <si>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</si>
  <si>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</si>
  <si>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</si>
  <si>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</si>
  <si>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</si>
  <si>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</si>
  <si>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</si>
  <si>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</si>
  <si>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</si>
  <si>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</si>
  <si>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</si>
  <si>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</si>
  <si>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</si>
  <si>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</si>
  <si>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</si>
  <si>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</si>
  <si>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</si>
  <si>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</si>
  <si>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</si>
  <si>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</si>
  <si>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</si>
  <si>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</si>
  <si>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</si>
  <si>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</si>
  <si>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</si>
  <si>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</si>
  <si>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</si>
  <si>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</si>
  <si>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</si>
  <si>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</si>
  <si>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</si>
  <si>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</si>
  <si>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</si>
  <si>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</si>
  <si>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</si>
  <si>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</si>
  <si>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</si>
  <si>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</si>
  <si>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</si>
  <si>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</si>
  <si>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</si>
  <si>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</si>
  <si>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</si>
  <si>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</si>
  <si>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</si>
  <si>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</si>
  <si>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</si>
  <si>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</si>
  <si>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</si>
  <si>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</si>
  <si>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</si>
  <si>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</si>
  <si>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</si>
  <si>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</si>
  <si>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</si>
  <si>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</si>
  <si>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</si>
  <si>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</si>
  <si>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</si>
  <si>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</si>
  <si>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</si>
  <si>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</si>
  <si>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</si>
  <si>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</si>
  <si>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</si>
  <si>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</si>
  <si>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</si>
  <si>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</si>
  <si>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</si>
  <si>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</si>
  <si>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</si>
  <si>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</si>
  <si>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</si>
  <si>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</si>
  <si>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</si>
  <si>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</si>
  <si>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</si>
  <si>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</si>
  <si>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</si>
  <si>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</si>
  <si>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</si>
  <si>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</si>
  <si>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</si>
  <si>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</si>
  <si>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</si>
  <si>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</si>
  <si>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</si>
  <si>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</si>
  <si>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</si>
  <si>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</si>
  <si>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</si>
  <si>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</si>
  <si>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</si>
  <si>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</si>
  <si>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</si>
  <si>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</si>
  <si>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</si>
  <si>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</si>
  <si>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</si>
  <si>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</si>
  <si>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</si>
  <si>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</si>
  <si>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</si>
  <si>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</si>
  <si>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</si>
  <si>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</si>
  <si>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</si>
  <si>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</si>
  <si>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</si>
  <si>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</si>
  <si>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</si>
  <si>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</si>
  <si>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</si>
  <si>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</si>
  <si>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</si>
  <si>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</si>
  <si>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</si>
  <si>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</si>
  <si>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</si>
  <si>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</si>
  <si>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</si>
  <si>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</si>
  <si>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</si>
  <si>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</si>
  <si>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</si>
  <si>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</si>
  <si>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</si>
  <si>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</si>
  <si>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</si>
  <si>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</si>
  <si>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</si>
  <si>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</si>
  <si>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</si>
  <si>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</si>
  <si>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</si>
  <si>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</si>
  <si>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</si>
  <si>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</si>
  <si>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</si>
  <si>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</si>
  <si>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</si>
  <si>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</si>
  <si>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</si>
  <si>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</si>
  <si>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</si>
  <si>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</si>
  <si>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</si>
  <si>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</si>
  <si>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</si>
  <si>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</si>
  <si>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</si>
  <si>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</si>
  <si>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</si>
  <si>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</si>
  <si>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</si>
  <si>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</si>
  <si>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</si>
  <si>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</si>
  <si>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</si>
  <si>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</si>
  <si>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</si>
  <si>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</si>
  <si>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</si>
  <si>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</si>
  <si>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</si>
  <si>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</si>
  <si>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</si>
  <si>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</si>
  <si>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</si>
  <si>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</si>
  <si>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</si>
  <si>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</si>
  <si>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</si>
  <si>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</si>
  <si>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</si>
  <si>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</si>
  <si>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</si>
  <si>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</si>
  <si>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</si>
  <si>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</si>
  <si>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</si>
  <si>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</si>
  <si>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</si>
  <si>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</si>
  <si>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</si>
  <si>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</si>
  <si>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</si>
  <si>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</si>
  <si>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</si>
  <si>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</si>
  <si>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</si>
  <si>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</si>
  <si>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</si>
  <si>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</si>
  <si>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</si>
  <si>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</si>
  <si>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</si>
  <si>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</si>
  <si>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</si>
  <si>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</si>
  <si>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</si>
  <si>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</si>
  <si>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</si>
  <si>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</si>
  <si>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</si>
  <si>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</si>
  <si>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</si>
  <si>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</si>
  <si>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</si>
  <si>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</si>
  <si>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</si>
  <si>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</si>
  <si>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</si>
  <si>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</si>
  <si>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</si>
  <si>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</si>
  <si>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</si>
  <si>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</si>
  <si>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</si>
  <si>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</si>
  <si>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</si>
  <si>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</si>
  <si>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</si>
  <si>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</si>
  <si>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</si>
  <si>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</si>
  <si>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</si>
  <si>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</si>
  <si>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</si>
  <si>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</si>
  <si>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</si>
  <si>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</si>
  <si>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</si>
  <si>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</si>
  <si>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</si>
  <si>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</si>
  <si>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</si>
  <si>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</si>
  <si>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</si>
  <si>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</si>
  <si>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</si>
  <si>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</si>
  <si>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</si>
  <si>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</si>
  <si>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</si>
  <si>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</si>
  <si>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</si>
  <si>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</si>
  <si>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</si>
  <si>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</si>
  <si>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</si>
  <si>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</si>
  <si>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</si>
  <si>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</si>
  <si>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</si>
  <si>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</si>
  <si>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</si>
  <si>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</si>
  <si>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</si>
  <si>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</si>
  <si>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</si>
  <si>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</si>
  <si>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</si>
  <si>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</si>
  <si>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</si>
  <si>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</si>
  <si>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</si>
  <si>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</si>
  <si>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</si>
  <si>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</si>
  <si>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</si>
  <si>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</si>
  <si>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</si>
  <si>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</si>
  <si>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</si>
  <si>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</si>
  <si>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</si>
  <si>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</si>
  <si>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</si>
  <si>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</si>
  <si>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</si>
  <si>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</si>
  <si>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</si>
  <si>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</si>
  <si>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</si>
  <si>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</si>
  <si>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</si>
  <si>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</si>
  <si>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</si>
  <si>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</si>
  <si>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</si>
  <si>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</si>
  <si>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</si>
  <si>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</si>
  <si>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</si>
  <si>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</si>
  <si>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</si>
  <si>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</si>
  <si>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</si>
  <si>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</si>
  <si>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</si>
  <si>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</si>
  <si>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</si>
  <si>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</si>
  <si>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</si>
  <si>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</si>
  <si>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</si>
  <si>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</si>
  <si>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</si>
  <si>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</si>
  <si>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</si>
  <si>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</si>
  <si>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</si>
  <si>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</si>
  <si>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</si>
  <si>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</si>
  <si>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</si>
  <si>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</si>
  <si>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</si>
  <si>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</si>
  <si>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</si>
  <si>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</si>
  <si>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</si>
  <si>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</si>
  <si>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</si>
  <si>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</si>
  <si>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</si>
  <si>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</si>
  <si>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</si>
  <si>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</si>
  <si>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</si>
  <si>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</si>
  <si>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</si>
  <si>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</si>
  <si>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</si>
  <si>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</si>
  <si>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</si>
  <si>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</si>
  <si>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</si>
  <si>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</si>
  <si>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</si>
  <si>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</si>
  <si>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</si>
  <si>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</si>
  <si>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</si>
  <si>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</si>
  <si>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</si>
  <si>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</si>
  <si>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</si>
  <si>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</si>
  <si>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</si>
  <si>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</si>
  <si>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</si>
  <si>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</si>
  <si>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</si>
  <si>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</si>
  <si>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</si>
  <si>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</si>
  <si>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</si>
  <si>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</si>
  <si>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</si>
  <si>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</si>
  <si>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</si>
  <si>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</si>
  <si>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</si>
  <si>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</si>
  <si>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</si>
  <si>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</si>
  <si>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</si>
  <si>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</si>
  <si>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</si>
  <si>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</si>
  <si>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</si>
  <si>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</si>
  <si>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</si>
  <si>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</si>
  <si>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</si>
  <si>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</si>
  <si>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</si>
  <si>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</si>
  <si>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</si>
  <si>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</si>
  <si>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</si>
  <si>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</si>
  <si>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</si>
  <si>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</si>
  <si>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</si>
  <si>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</si>
  <si>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</si>
  <si>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</si>
  <si>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</si>
  <si>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</si>
  <si>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</si>
  <si>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</si>
  <si>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</si>
  <si>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</si>
  <si>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</si>
  <si>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</si>
  <si>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</si>
  <si>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</si>
  <si>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</si>
  <si>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</si>
  <si>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</si>
  <si>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</si>
  <si>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</si>
  <si>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</si>
  <si>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</si>
  <si>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</si>
  <si>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</si>
  <si>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</si>
  <si>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</si>
  <si>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</si>
  <si>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</si>
  <si>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</si>
  <si>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</si>
  <si>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</si>
  <si>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</si>
  <si>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</si>
  <si>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</si>
  <si>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</si>
  <si>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</si>
  <si>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</si>
  <si>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</si>
  <si>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</si>
  <si>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</si>
  <si>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</si>
  <si>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</si>
  <si>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</si>
  <si>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</si>
  <si>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</si>
  <si>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</si>
  <si>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</si>
  <si>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</si>
  <si>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</si>
  <si>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</si>
  <si>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</si>
  <si>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</si>
  <si>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</si>
  <si>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</si>
  <si>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</si>
  <si>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</si>
  <si>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</si>
  <si>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</si>
  <si>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</si>
  <si>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</si>
  <si>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</si>
  <si>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</si>
  <si>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</si>
  <si>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</si>
  <si>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</si>
  <si>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</si>
  <si>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</si>
  <si>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</si>
  <si>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</si>
  <si>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</si>
  <si>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</si>
  <si>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</si>
  <si>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</si>
  <si>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</si>
  <si>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</si>
  <si>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</si>
  <si>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</si>
  <si>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</si>
  <si>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</si>
  <si>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</si>
  <si>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</si>
  <si>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</si>
  <si>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</si>
  <si>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</si>
  <si>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</si>
  <si>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</si>
  <si>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</si>
  <si>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</si>
  <si>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</si>
  <si>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</si>
  <si>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</si>
  <si>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</si>
  <si>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</si>
  <si>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</si>
  <si>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</si>
  <si>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</si>
  <si>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</si>
  <si>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</si>
  <si>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</si>
  <si>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</si>
  <si>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</si>
  <si>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</si>
  <si>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</si>
  <si>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</si>
  <si>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</si>
  <si>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</si>
  <si>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</si>
  <si>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</si>
  <si>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</si>
  <si>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</si>
  <si>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</si>
  <si>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</si>
  <si>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</si>
  <si>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</si>
  <si>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</si>
  <si>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</si>
  <si>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</si>
  <si>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</si>
  <si>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</si>
  <si>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</si>
  <si>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</si>
  <si>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</si>
  <si>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</si>
  <si>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</si>
  <si>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</si>
  <si>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</si>
  <si>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</si>
  <si>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</si>
  <si>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</si>
  <si>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</si>
  <si>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</si>
  <si>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</si>
  <si>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</si>
  <si>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</si>
  <si>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</si>
  <si>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</si>
  <si>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</si>
  <si>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</si>
  <si>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</si>
  <si>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</si>
  <si>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</si>
  <si>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</si>
  <si>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</si>
  <si>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</si>
  <si>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</si>
  <si>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</si>
  <si>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</si>
  <si>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</si>
  <si>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</si>
  <si>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</si>
  <si>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</si>
  <si>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</si>
  <si>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</si>
  <si>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</si>
  <si>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</si>
  <si>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</si>
  <si>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</si>
  <si>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</si>
  <si>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</si>
  <si>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</si>
  <si>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</si>
  <si>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</si>
  <si>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</si>
  <si>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</si>
  <si>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</si>
  <si>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</si>
  <si>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</si>
  <si>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</si>
  <si>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</si>
  <si>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</si>
  <si>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</si>
  <si>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</si>
  <si>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</si>
  <si>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</si>
  <si>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</si>
  <si>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</si>
  <si>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</si>
  <si>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</si>
  <si>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</si>
  <si>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</si>
  <si>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</si>
  <si>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</si>
  <si>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</si>
  <si>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</si>
  <si>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</si>
  <si>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</si>
  <si>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</si>
  <si>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</si>
  <si>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</si>
  <si>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</si>
  <si>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</si>
  <si>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</si>
  <si>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</si>
  <si>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</si>
  <si>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</si>
  <si>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</si>
  <si>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</si>
  <si>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</si>
  <si>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</si>
  <si>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</si>
  <si>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</si>
  <si>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</si>
  <si>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</si>
  <si>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</si>
  <si>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</si>
  <si>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</si>
  <si>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</si>
  <si>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</si>
  <si>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</si>
  <si>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</si>
  <si>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</si>
  <si>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</si>
  <si>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</si>
  <si>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</si>
  <si>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</si>
  <si>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</si>
  <si>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</si>
  <si>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</si>
  <si>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</si>
  <si>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</si>
  <si>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</si>
  <si>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</si>
  <si>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</si>
  <si>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</si>
  <si>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</si>
  <si>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</si>
  <si>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</si>
  <si>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</si>
  <si>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</si>
  <si>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</si>
  <si>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</si>
  <si>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</si>
  <si>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</si>
  <si>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</si>
  <si>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</si>
  <si>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</si>
  <si>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</si>
  <si>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</si>
  <si>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</si>
  <si>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</si>
  <si>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</si>
  <si>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</si>
  <si>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</si>
  <si>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</si>
  <si>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</si>
  <si>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</si>
  <si>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</si>
  <si>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</si>
  <si>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</si>
  <si>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</si>
  <si>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</si>
  <si>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</si>
  <si>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</si>
  <si>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</si>
  <si>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</si>
  <si>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</si>
  <si>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</si>
  <si>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</si>
  <si>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</si>
  <si>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</si>
  <si>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</si>
  <si>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</si>
  <si>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</si>
  <si>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</si>
  <si>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</si>
  <si>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</si>
  <si>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</si>
  <si>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</si>
  <si>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</si>
  <si>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</si>
  <si>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</si>
  <si>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</si>
  <si>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</si>
  <si>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</si>
  <si>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</si>
  <si>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</si>
  <si>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</si>
  <si>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</si>
  <si>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</si>
  <si>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</si>
  <si>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</si>
  <si>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</si>
  <si>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</si>
  <si>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</si>
  <si>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</si>
  <si>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</si>
  <si>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</si>
  <si>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</si>
  <si>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</si>
  <si>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Verification R acid</t>
  </si>
  <si>
    <t>R verification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</si>
</sst>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204918" y="203752"/>
          <a:ext cx="2775999" cy="801591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6205180" y="21724620"/>
          <a:ext cx="3547110" cy="500443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2480250" y="1112520"/>
          <a:ext cx="227647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6525220" y="821055"/>
          <a:ext cx="1094803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862655" y="482536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1177230" y="4177665"/>
          <a:ext cx="226695" cy="20574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3343215" y="4189095"/>
          <a:ext cx="234315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828365" y="5473065"/>
          <a:ext cx="201930" cy="20574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6273105" y="4177665"/>
          <a:ext cx="215265" cy="20574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821495" y="4189095"/>
          <a:ext cx="226695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9116020" y="1101090"/>
          <a:ext cx="213360" cy="22098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639520" y="5149215"/>
          <a:ext cx="213360" cy="20574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639520" y="6930390"/>
          <a:ext cx="21336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30567630" y="3002280"/>
          <a:ext cx="5743575" cy="737235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6384250" y="19560540"/>
          <a:ext cx="20574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801695" y="15199995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1177230" y="14540865"/>
          <a:ext cx="226695" cy="20574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3289875" y="14552295"/>
          <a:ext cx="226695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786455" y="15847695"/>
          <a:ext cx="19431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6235005" y="14540865"/>
          <a:ext cx="215265" cy="20574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4745295" y="14552295"/>
          <a:ext cx="226695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965525" y="11464290"/>
          <a:ext cx="21526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6586180" y="15512415"/>
          <a:ext cx="205740" cy="20574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6586180" y="17293590"/>
          <a:ext cx="20574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30556200" y="13365480"/>
          <a:ext cx="5755005" cy="737235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2518350" y="11422380"/>
          <a:ext cx="227647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980765" y="24256365"/>
          <a:ext cx="234315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7525345" y="25412700"/>
          <a:ext cx="226695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628090" y="26372820"/>
          <a:ext cx="21336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6624280" y="22648545"/>
          <a:ext cx="217170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713940" y="24429720"/>
          <a:ext cx="21336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3404175" y="24267795"/>
          <a:ext cx="226695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952565" y="25412700"/>
          <a:ext cx="234315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1040070" y="26393775"/>
          <a:ext cx="21336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1013400" y="22659975"/>
          <a:ext cx="201930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2137350" y="24429720"/>
          <a:ext cx="201930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7705665" y="24267795"/>
          <a:ext cx="23241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6349305" y="25424130"/>
          <a:ext cx="226695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5425380" y="26393775"/>
          <a:ext cx="20574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5440620" y="22659975"/>
          <a:ext cx="21336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6488370" y="24441150"/>
          <a:ext cx="21336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763470" y="21859875"/>
          <a:ext cx="19240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2125920" y="21850350"/>
          <a:ext cx="1924050" cy="96012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6499800" y="21850350"/>
          <a:ext cx="1922145" cy="96012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30594300" y="21697950"/>
          <a:ext cx="3554730" cy="499872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994850" y="21697950"/>
          <a:ext cx="3581400" cy="499872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6384250" y="28628340"/>
          <a:ext cx="20574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6384250" y="9035415"/>
          <a:ext cx="20574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09375" defaultRowHeight="12.75" customHeight="1" x14ac:dyDescent="0.3"/>
  <cols>
    <col min="1" max="1" width="3.5546875" style="2" customWidth="1"/>
    <col min="2" max="2" width="11.6640625" style="2" customWidth="1"/>
    <col min="3" max="3" width="12.6640625" style="2" bestFit="1" customWidth="1"/>
    <col min="4" max="4" width="4.109375" style="2" customWidth="1"/>
    <col min="5" max="15" width="11.6640625" style="2" customWidth="1"/>
    <col min="16" max="16384" width="9.109375" style="2"/>
  </cols>
  <sheetData>
    <row r="2" spans="2:15" ht="12.75" customHeight="1" x14ac:dyDescent="0.3">
      <c r="B2" s="1" t="s">
        <v>1226</v>
      </c>
    </row>
    <row r="3" spans="2:15" ht="12.75" customHeight="1" x14ac:dyDescent="0.3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3">
      <c r="B4" s="417" t="s">
        <v>439</v>
      </c>
      <c r="C4" s="617" t="s">
        <v>3927</v>
      </c>
    </row>
    <row r="5" spans="2:15" ht="12.75" customHeight="1" x14ac:dyDescent="0.3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3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3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3">
      <c r="B8" s="2" t="s">
        <v>878</v>
      </c>
      <c r="O8" s="6"/>
    </row>
    <row r="9" spans="2:15" ht="12.75" customHeight="1" x14ac:dyDescent="0.3">
      <c r="B9" s="2" t="s">
        <v>1247</v>
      </c>
      <c r="O9" s="6"/>
    </row>
    <row r="10" spans="2:15" ht="12.75" customHeight="1" x14ac:dyDescent="0.3">
      <c r="B10" s="25" t="s">
        <v>3912</v>
      </c>
      <c r="D10" s="25"/>
      <c r="O10" s="6"/>
    </row>
    <row r="11" spans="2:15" ht="12.75" customHeight="1" x14ac:dyDescent="0.3">
      <c r="O11" s="6"/>
    </row>
    <row r="12" spans="2:15" ht="12.75" customHeight="1" x14ac:dyDescent="0.3">
      <c r="O12" s="6"/>
    </row>
    <row r="13" spans="2:15" ht="12.75" customHeight="1" x14ac:dyDescent="0.3">
      <c r="B13" s="4" t="s">
        <v>1248</v>
      </c>
      <c r="O13" s="6"/>
    </row>
    <row r="14" spans="2:15" ht="12.75" customHeight="1" x14ac:dyDescent="0.3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3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3">
      <c r="B16" s="29" t="s">
        <v>2121</v>
      </c>
      <c r="O16" s="6"/>
    </row>
    <row r="17" spans="2:15" ht="12.75" customHeight="1" x14ac:dyDescent="0.3">
      <c r="B17" s="29" t="s">
        <v>2122</v>
      </c>
      <c r="O17" s="6"/>
    </row>
    <row r="18" spans="2:15" ht="12.75" customHeight="1" x14ac:dyDescent="0.3">
      <c r="B18" s="2" t="s">
        <v>861</v>
      </c>
      <c r="O18" s="6"/>
    </row>
    <row r="19" spans="2:15" ht="12.75" customHeight="1" x14ac:dyDescent="0.3">
      <c r="O19" s="6"/>
    </row>
    <row r="20" spans="2:15" ht="12.75" customHeight="1" x14ac:dyDescent="0.3">
      <c r="B20" s="4" t="s">
        <v>1249</v>
      </c>
      <c r="O20" s="6"/>
    </row>
    <row r="21" spans="2:15" ht="12.75" customHeight="1" x14ac:dyDescent="0.3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3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3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3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3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3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3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3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3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3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3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3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3">
      <c r="B33" s="620"/>
      <c r="C33" s="29"/>
      <c r="D33" s="29"/>
      <c r="E33" s="29" t="s">
        <v>3948</v>
      </c>
      <c r="F33" s="29"/>
    </row>
    <row r="34" spans="2:12" ht="12.75" customHeight="1" x14ac:dyDescent="0.3">
      <c r="B34" s="29"/>
      <c r="C34" s="29"/>
      <c r="D34" s="29"/>
      <c r="E34" s="29" t="s">
        <v>3949</v>
      </c>
      <c r="F34" s="29"/>
    </row>
    <row r="35" spans="2:12" ht="12.75" customHeight="1" x14ac:dyDescent="0.3">
      <c r="B35" s="29"/>
      <c r="C35" s="29"/>
      <c r="D35" s="29" t="s">
        <v>3943</v>
      </c>
      <c r="E35" s="29"/>
      <c r="F35" s="29"/>
    </row>
    <row r="36" spans="2:12" ht="12.75" customHeight="1" x14ac:dyDescent="0.3">
      <c r="B36" s="29"/>
      <c r="C36" s="29"/>
      <c r="D36" s="29" t="s">
        <v>3944</v>
      </c>
      <c r="E36" s="29"/>
      <c r="F36" s="29"/>
    </row>
    <row r="37" spans="2:12" ht="12.75" customHeight="1" x14ac:dyDescent="0.3">
      <c r="B37" s="29"/>
      <c r="C37" s="29"/>
      <c r="D37" s="94" t="s">
        <v>3940</v>
      </c>
      <c r="E37" s="29"/>
      <c r="F37" s="29"/>
    </row>
    <row r="38" spans="2:12" ht="12.75" customHeight="1" x14ac:dyDescent="0.3">
      <c r="B38" s="29"/>
      <c r="C38" s="29"/>
      <c r="D38" s="94"/>
      <c r="E38" s="29" t="s">
        <v>3941</v>
      </c>
      <c r="F38" s="29"/>
    </row>
    <row r="39" spans="2:12" ht="12.75" customHeight="1" x14ac:dyDescent="0.3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3">
      <c r="B40" s="29"/>
      <c r="C40" s="29"/>
      <c r="D40" s="29" t="s">
        <v>3936</v>
      </c>
      <c r="E40" s="29"/>
      <c r="F40" s="29"/>
    </row>
    <row r="41" spans="2:12" ht="12.75" customHeight="1" x14ac:dyDescent="0.3">
      <c r="B41" s="657">
        <v>45496</v>
      </c>
      <c r="C41" s="90" t="s">
        <v>4057</v>
      </c>
      <c r="D41" s="90" t="s">
        <v>4054</v>
      </c>
    </row>
    <row r="42" spans="2:12" ht="12.75" customHeight="1" x14ac:dyDescent="0.3">
      <c r="D42" s="90" t="s">
        <v>4055</v>
      </c>
    </row>
    <row r="43" spans="2:12" ht="12.75" customHeight="1" x14ac:dyDescent="0.3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1" zoomScaleNormal="100" workbookViewId="0">
      <selection activeCell="I7" sqref="I7"/>
    </sheetView>
  </sheetViews>
  <sheetFormatPr defaultColWidth="9.109375" defaultRowHeight="12.75" customHeight="1" x14ac:dyDescent="0.3"/>
  <cols>
    <col min="1" max="5" width="1.6640625" customWidth="1"/>
    <col min="6" max="6" width="65.6640625" customWidth="1"/>
    <col min="7" max="7" width="22.6640625" style="79" customWidth="1"/>
    <col min="8" max="8" width="10.6640625" style="79" customWidth="1"/>
    <col min="9" max="9" width="9.6640625" style="358" customWidth="1"/>
    <col min="10" max="10" width="9.6640625" style="404" customWidth="1"/>
    <col min="11" max="12" width="9.6640625" style="357" customWidth="1"/>
    <col min="14" max="14" width="67.33203125" customWidth="1"/>
    <col min="15" max="15" width="2.6640625" style="7" customWidth="1"/>
    <col min="16" max="16384" width="9.109375" style="27"/>
  </cols>
  <sheetData>
    <row r="1" spans="1:15" s="26" customFormat="1" ht="12.75" customHeight="1" x14ac:dyDescent="0.3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3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3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3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" customHeight="1" x14ac:dyDescent="0.3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Sb(III)</v>
      </c>
      <c r="M5" s="29"/>
      <c r="N5" s="92"/>
      <c r="O5" s="161"/>
    </row>
    <row r="6" spans="1:15" s="26" customFormat="1" ht="12.75" customHeight="1" x14ac:dyDescent="0.3">
      <c r="A6" s="36"/>
      <c r="B6" s="29"/>
      <c r="C6" s="29"/>
      <c r="D6" s="29"/>
      <c r="E6" s="29"/>
      <c r="F6" s="29"/>
      <c r="G6" s="36" t="s">
        <v>2014</v>
      </c>
      <c r="H6" s="36"/>
      <c r="I6" s="411">
        <v>1026</v>
      </c>
      <c r="J6" s="400"/>
      <c r="K6" s="121">
        <f>VLOOKUP(ChemName,ChemData,26,FALSE)</f>
        <v>0</v>
      </c>
      <c r="L6" s="393">
        <f>IF(ISBLANK(I6),IF(ISBLANK(J6),K6,J6),I6)</f>
        <v>1026</v>
      </c>
      <c r="M6" s="29"/>
      <c r="N6" s="36"/>
      <c r="O6" s="161"/>
    </row>
    <row r="7" spans="1:15" s="26" customFormat="1" ht="12.75" customHeight="1" x14ac:dyDescent="0.3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3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" customHeight="1" x14ac:dyDescent="0.3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3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Metal</v>
      </c>
      <c r="K14" s="350" t="s">
        <v>2061</v>
      </c>
      <c r="L14" s="351" t="str">
        <f>IF(I14="",IF(J14="",K14,J14),I14)</f>
        <v>Metal</v>
      </c>
      <c r="M14" s="36"/>
      <c r="N14" s="29"/>
      <c r="O14" s="172"/>
    </row>
    <row r="15" spans="1:15" s="26" customFormat="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121.76</v>
      </c>
      <c r="K15" s="345">
        <f>MEDIAN(substances!F$17:F$283)</f>
        <v>138</v>
      </c>
      <c r="L15" s="346">
        <f>IF(ISBLANK(I15),IF(ISNUMBER(J15)=FALSE,K15/1000,J15/1000),I15/1000)</f>
        <v>0.12176000000000001</v>
      </c>
      <c r="M15" s="36" t="s">
        <v>1359</v>
      </c>
      <c r="N15" s="29"/>
      <c r="O15" s="159"/>
    </row>
    <row r="16" spans="1:15" s="26" customFormat="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>
        <f>IF(HLOOKUP(CaseName,CaseData,ROW()-2,FALSE)="",IF(ISBLANK(VLOOKUP(ChemName,ChemData,MATCH("Ksw",substances!$3:$3,FALSE)-1,FALSE)),"",VLOOKUP(ChemName,ChemData,MATCH("Ksw",substances!$3:$3,FALSE)-1,FALSE)),HLOOKUP(CaseName,CaseData,ROW()-2,FALSE))</f>
        <v>2500</v>
      </c>
      <c r="K17" s="345">
        <f>(VLOOKUP(ChemClass,QSARtable,7,FALSE))*CORG*RHOsolid/1000</f>
        <v>50</v>
      </c>
      <c r="L17" s="346">
        <f t="shared" ref="L17:L23" si="0">IF(ISBLANK(I17), IF(ISNUMBER(J17)=FALSE, K17, J17), I17)</f>
        <v>2500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2500</v>
      </c>
    </row>
    <row r="18" spans="1:16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50</v>
      </c>
      <c r="L18" s="346">
        <f t="shared" si="0"/>
        <v>50</v>
      </c>
      <c r="M18" s="36" t="s">
        <v>486</v>
      </c>
      <c r="N18" s="29"/>
      <c r="O18" s="172"/>
    </row>
    <row r="19" spans="1:16" s="26" customFormat="1" ht="12.75" customHeight="1" x14ac:dyDescent="0.3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>
        <f>IF(HLOOKUP(CaseName,CaseData,ROW()-2,FALSE)="",IF(ISBLANK(VLOOKUP(ChemName,ChemData,MATCH("Kaw",substances!$3:$3,FALSE)-1,FALSE)),"",VLOOKUP(ChemName,ChemData,MATCH("Kaw",substances!$3:$3,FALSE)-1,FALSE)),HLOOKUP(CaseName,CaseData,ROW()-2,FALSE))</f>
        <v>9.9999999999999995E-21</v>
      </c>
      <c r="K19" s="543">
        <f>VLOOKUP(ChemClass,QSARtable,9,FALSE)</f>
        <v>9.9999999999999995E-21</v>
      </c>
      <c r="L19" s="346">
        <f>IF(ISBLANK(I19), IF(ISNUMBER(J19)=FALSE, K19, J19), I19)</f>
        <v>9.9999999999999995E-21</v>
      </c>
      <c r="M19" s="36" t="s">
        <v>486</v>
      </c>
      <c r="N19" s="29"/>
      <c r="O19" s="172"/>
    </row>
    <row r="20" spans="1:16" s="26" customFormat="1" ht="12.75" customHeight="1" x14ac:dyDescent="0.3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 t="str">
        <f>IF(HLOOKUP(CaseName,CaseData,ROW()-2,FALSE)="",IF(ISBLANK(VLOOKUP(ChemName,ChemData,MATCH("Kow",substances!$3:$3,FALSE)-1,FALSE)),"",VLOOKUP(ChemName,ChemData,MATCH("Kow",substances!$3:$3,FALSE)-1,FALSE)),HLOOKUP(CaseName,CaseData,ROW()-2,FALSE))</f>
        <v/>
      </c>
      <c r="K20" s="345">
        <f>MEDIAN(substances!K$17:K$283)</f>
        <v>18</v>
      </c>
      <c r="L20" s="346">
        <f t="shared" si="0"/>
        <v>18</v>
      </c>
      <c r="M20" s="36" t="s">
        <v>486</v>
      </c>
      <c r="N20" s="29"/>
      <c r="O20" s="172"/>
    </row>
    <row r="21" spans="1:16" s="26" customFormat="1" ht="12.75" customHeight="1" x14ac:dyDescent="0.3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5.6920997883030799E-3</v>
      </c>
      <c r="L21" s="346">
        <f t="shared" si="0"/>
        <v>5.6920997883030799E-3</v>
      </c>
      <c r="M21" s="36" t="s">
        <v>486</v>
      </c>
      <c r="N21" s="29"/>
      <c r="O21" s="172"/>
    </row>
    <row r="22" spans="1:16" s="26" customFormat="1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3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18</v>
      </c>
      <c r="L23" s="346">
        <f t="shared" si="0"/>
        <v>18</v>
      </c>
      <c r="M23" s="36" t="s">
        <v>486</v>
      </c>
      <c r="N23" s="29" t="s">
        <v>215</v>
      </c>
      <c r="O23" s="172"/>
    </row>
    <row r="24" spans="1:16" s="26" customFormat="1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3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 t="str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/>
      </c>
      <c r="K35" s="345">
        <f>MEDIAN(substances!$H$17:$H$283)</f>
        <v>4</v>
      </c>
      <c r="L35" s="346">
        <f t="shared" si="2"/>
        <v>4</v>
      </c>
      <c r="M35" s="29" t="s">
        <v>488</v>
      </c>
      <c r="N35" s="29"/>
      <c r="O35" s="172"/>
    </row>
    <row r="36" spans="1:15" s="26" customFormat="1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64.704355540522016</v>
      </c>
      <c r="L36" s="346">
        <f>IF(ISBLANK(I36),IF(ISNUMBER(J36)=FALSE,K36*1000,J36*1000),I36*1000)</f>
        <v>64704.355540522018</v>
      </c>
      <c r="M36" s="95" t="s">
        <v>1395</v>
      </c>
      <c r="N36" s="90"/>
      <c r="O36" s="172"/>
    </row>
    <row r="37" spans="1:15" s="26" customFormat="1" ht="12.75" customHeight="1" x14ac:dyDescent="0.3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 t="str">
        <f>IF(HLOOKUP(CaseName,CaseData,ROW()-2,FALSE)="",IF(ISBLANK(VLOOKUP(ChemName,ChemData,MATCH("Sol25",substances!$3:$3,FALSE)-1,FALSE)),"",VLOOKUP(ChemName,ChemData,MATCH("Sol25",substances!$3:$3,FALSE)-1,FALSE)),HLOOKUP(CaseName,CaseData,ROW()-2,FALSE))</f>
        <v/>
      </c>
      <c r="K37" s="345">
        <f>10^(LOG(Kow)*-1.214+0.85)*(Molweight*1000000)</f>
        <v>25799.056179599735</v>
      </c>
      <c r="L37" s="346">
        <f>IF(ISBLANK(I37),IF(ISNUMBER(J37)=FALSE,K37/(1000*Molweight),J37/(1000*Molweight)),I37/(1000*Molweight))</f>
        <v>211.88449556175865</v>
      </c>
      <c r="M37" s="36" t="s">
        <v>1396</v>
      </c>
      <c r="N37" s="29"/>
      <c r="O37" s="172"/>
    </row>
    <row r="38" spans="1:15" s="26" customFormat="1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3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3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3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13.09607863897179</v>
      </c>
      <c r="J42" s="245">
        <f>1.26*Kow^0.81</f>
        <v>13.09607863897179</v>
      </c>
      <c r="K42" s="245">
        <f>MAX(IF(Pvap25&gt;100000,(100000/_Sol25)/(8.314*298),(Pvap25/_Sol25)/(8.314*298)),1E-20)</f>
        <v>7.6196413206296689E-6</v>
      </c>
      <c r="L42" s="245">
        <f>MAX(IF(Pvap25&gt;100000,(100000/_Sol25)/(8.314*298),(Pvap25/_Sol25)/(8.314*298)),1E-20)</f>
        <v>7.6196413206296689E-6</v>
      </c>
      <c r="M42" s="244" t="s">
        <v>486</v>
      </c>
      <c r="N42" s="29"/>
      <c r="O42" s="172"/>
    </row>
    <row r="43" spans="1:15" ht="12.75" customHeight="1" x14ac:dyDescent="0.3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61.354603344815416</v>
      </c>
      <c r="J43" s="245">
        <f>10^(0.11*LOG(Kow)+1.54)</f>
        <v>47.651872990543872</v>
      </c>
      <c r="K43" s="245">
        <f>MAX(IF(Pvap25&gt;100000,(100000/_Sol25)/(8.314*298),(Pvap25/_Sol25)/(8.314*298)),1E-20)</f>
        <v>7.6196413206296689E-6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3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146.0329393884619</v>
      </c>
      <c r="J44" s="245">
        <f>IF(pKa&gt;0,10^(pKa^0.65*(Kow/(1+Kow))^0.14),1)</f>
        <v>3279.5774931958399</v>
      </c>
      <c r="K44" s="245">
        <f>MAX(IF(Pvap25&gt;100000,(100000/_Sol25)/(8.314*298),(Pvap25/_Sol25)/(8.314*298)),1E-20)</f>
        <v>7.6196413206296689E-6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3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3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13.09607863897179</v>
      </c>
      <c r="J46" s="245">
        <f>1.26*Kow^0.81</f>
        <v>13.09607863897179</v>
      </c>
      <c r="K46" s="245">
        <f t="shared" ref="K46:L64" si="3">MAX(IF(Pvap25&gt;100000,(100000/_Sol25)/(8.314*298),(Pvap25/_Sol25)/(8.314*298)),1E-20)</f>
        <v>7.6196413206296689E-6</v>
      </c>
      <c r="L46" s="245">
        <f t="shared" si="3"/>
        <v>7.6196413206296689E-6</v>
      </c>
      <c r="M46" s="244" t="s">
        <v>486</v>
      </c>
      <c r="N46" s="29"/>
      <c r="O46" s="172"/>
    </row>
    <row r="47" spans="1:15" ht="12.75" customHeight="1" x14ac:dyDescent="0.3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47.063951120592591</v>
      </c>
      <c r="J47" s="245">
        <f>10.47*Kow^0.52</f>
        <v>47.063951120592591</v>
      </c>
      <c r="K47" s="245">
        <f t="shared" si="3"/>
        <v>7.6196413206296689E-6</v>
      </c>
      <c r="L47" s="245">
        <f t="shared" si="3"/>
        <v>7.6196413206296689E-6</v>
      </c>
      <c r="M47" s="244" t="s">
        <v>486</v>
      </c>
      <c r="N47" s="29"/>
      <c r="O47" s="172"/>
    </row>
    <row r="48" spans="1:15" ht="12.75" customHeight="1" x14ac:dyDescent="0.3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49.050357905532422</v>
      </c>
      <c r="J48" s="245">
        <f>7.94*Kow^0.63</f>
        <v>49.050357905532422</v>
      </c>
      <c r="K48" s="245">
        <f t="shared" si="3"/>
        <v>7.6196413206296689E-6</v>
      </c>
      <c r="L48" s="245">
        <f t="shared" si="3"/>
        <v>7.6196413206296689E-6</v>
      </c>
      <c r="M48" s="244" t="s">
        <v>486</v>
      </c>
      <c r="N48" s="29"/>
      <c r="O48" s="172"/>
    </row>
    <row r="49" spans="1:15" ht="12.75" customHeight="1" x14ac:dyDescent="0.3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47.85013736274265</v>
      </c>
      <c r="J49" s="245">
        <f>12.3*Kow^0.47</f>
        <v>47.85013736274265</v>
      </c>
      <c r="K49" s="245">
        <f t="shared" si="3"/>
        <v>7.6196413206296689E-6</v>
      </c>
      <c r="L49" s="245">
        <f t="shared" si="3"/>
        <v>7.6196413206296689E-6</v>
      </c>
      <c r="M49" s="244" t="s">
        <v>486</v>
      </c>
      <c r="N49" s="29"/>
      <c r="O49" s="172"/>
    </row>
    <row r="50" spans="1:15" ht="12.75" customHeight="1" x14ac:dyDescent="0.3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12.293206021647704</v>
      </c>
      <c r="J50" s="245">
        <f>3.16*Kow^0.47</f>
        <v>12.293206021647704</v>
      </c>
      <c r="K50" s="245">
        <f t="shared" si="3"/>
        <v>7.6196413206296689E-6</v>
      </c>
      <c r="L50" s="245">
        <f t="shared" si="3"/>
        <v>7.6196413206296689E-6</v>
      </c>
      <c r="M50" s="244" t="s">
        <v>486</v>
      </c>
      <c r="N50" s="29"/>
      <c r="O50" s="172"/>
    </row>
    <row r="51" spans="1:15" ht="12.75" customHeight="1" x14ac:dyDescent="0.3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41.881710675070032</v>
      </c>
      <c r="J51" s="245">
        <f>13.18*Kow^0.4</f>
        <v>41.881710675070032</v>
      </c>
      <c r="K51" s="245">
        <f t="shared" si="3"/>
        <v>7.6196413206296689E-6</v>
      </c>
      <c r="L51" s="245">
        <f t="shared" si="3"/>
        <v>7.6196413206296689E-6</v>
      </c>
      <c r="M51" s="244" t="s">
        <v>486</v>
      </c>
      <c r="N51" s="29"/>
      <c r="O51" s="172"/>
    </row>
    <row r="52" spans="1:15" ht="12.75" customHeight="1" x14ac:dyDescent="0.3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9.755361323143708</v>
      </c>
      <c r="J52" s="245">
        <f>3.16*Kow^0.39</f>
        <v>9.755361323143708</v>
      </c>
      <c r="K52" s="245">
        <f t="shared" si="3"/>
        <v>7.6196413206296689E-6</v>
      </c>
      <c r="L52" s="245">
        <f t="shared" si="3"/>
        <v>7.6196413206296689E-6</v>
      </c>
      <c r="M52" s="244" t="s">
        <v>486</v>
      </c>
      <c r="N52" s="29"/>
      <c r="O52" s="172"/>
    </row>
    <row r="53" spans="1:15" ht="12.75" customHeight="1" x14ac:dyDescent="0.3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46.149997657547516</v>
      </c>
      <c r="J53" s="245">
        <f>17.78*Kow^0.33</f>
        <v>46.149997657547516</v>
      </c>
      <c r="K53" s="245">
        <f t="shared" si="3"/>
        <v>7.6196413206296689E-6</v>
      </c>
      <c r="L53" s="245">
        <f t="shared" si="3"/>
        <v>7.6196413206296689E-6</v>
      </c>
      <c r="M53" s="244" t="s">
        <v>486</v>
      </c>
      <c r="N53" s="29"/>
      <c r="O53" s="172"/>
    </row>
    <row r="54" spans="1:15" ht="12.75" customHeight="1" x14ac:dyDescent="0.3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42.49151451822398</v>
      </c>
      <c r="J54" s="245">
        <f>7.08*Kow^0.62</f>
        <v>42.49151451822398</v>
      </c>
      <c r="K54" s="245">
        <f t="shared" si="3"/>
        <v>7.6196413206296689E-6</v>
      </c>
      <c r="L54" s="245">
        <f t="shared" si="3"/>
        <v>7.6196413206296689E-6</v>
      </c>
      <c r="M54" s="244" t="s">
        <v>486</v>
      </c>
      <c r="N54" s="29"/>
      <c r="O54" s="172"/>
    </row>
    <row r="55" spans="1:15" ht="12.75" customHeight="1" x14ac:dyDescent="0.3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40.209614857418678</v>
      </c>
      <c r="J55" s="245">
        <f>13.8*Kow^0.37</f>
        <v>40.209614857418678</v>
      </c>
      <c r="K55" s="245">
        <f t="shared" si="3"/>
        <v>7.6196413206296689E-6</v>
      </c>
      <c r="L55" s="245">
        <f t="shared" si="3"/>
        <v>7.6196413206296689E-6</v>
      </c>
      <c r="M55" s="244" t="s">
        <v>486</v>
      </c>
      <c r="N55" s="29"/>
      <c r="O55" s="172"/>
    </row>
    <row r="56" spans="1:15" ht="12.75" customHeight="1" x14ac:dyDescent="0.3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249.47237866641871</v>
      </c>
      <c r="J56" s="245">
        <f>83.18*Kow^0.38</f>
        <v>249.47237866641871</v>
      </c>
      <c r="K56" s="245">
        <f t="shared" si="3"/>
        <v>7.6196413206296689E-6</v>
      </c>
      <c r="L56" s="245">
        <f t="shared" si="3"/>
        <v>7.6196413206296689E-6</v>
      </c>
      <c r="M56" s="244" t="s">
        <v>486</v>
      </c>
      <c r="N56" s="29"/>
      <c r="O56" s="172"/>
    </row>
    <row r="57" spans="1:15" ht="12.75" customHeight="1" x14ac:dyDescent="0.3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46.246235287847753</v>
      </c>
      <c r="J57" s="245">
        <f>11.22*Kow^0.49</f>
        <v>46.246235287847753</v>
      </c>
      <c r="K57" s="245">
        <f t="shared" si="3"/>
        <v>7.6196413206296689E-6</v>
      </c>
      <c r="L57" s="245">
        <f t="shared" si="3"/>
        <v>7.6196413206296689E-6</v>
      </c>
      <c r="M57" s="244" t="s">
        <v>486</v>
      </c>
      <c r="N57" s="29"/>
      <c r="O57" s="172"/>
    </row>
    <row r="58" spans="1:15" ht="12.75" customHeight="1" x14ac:dyDescent="0.3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32.869127950458207</v>
      </c>
      <c r="J58" s="245">
        <f>3.55*Kow^0.77</f>
        <v>32.869127950458207</v>
      </c>
      <c r="K58" s="245">
        <f t="shared" si="3"/>
        <v>7.6196413206296689E-6</v>
      </c>
      <c r="L58" s="245">
        <f t="shared" si="3"/>
        <v>7.6196413206296689E-6</v>
      </c>
      <c r="M58" s="244" t="s">
        <v>486</v>
      </c>
      <c r="N58" s="29"/>
      <c r="O58" s="172"/>
    </row>
    <row r="59" spans="1:15" ht="12.75" customHeight="1" x14ac:dyDescent="0.3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11.838857391638069</v>
      </c>
      <c r="J59" s="245">
        <f>2.09*Kow^0.6</f>
        <v>11.838857391638069</v>
      </c>
      <c r="K59" s="245">
        <f t="shared" si="3"/>
        <v>7.6196413206296689E-6</v>
      </c>
      <c r="L59" s="245">
        <f t="shared" si="3"/>
        <v>7.6196413206296689E-6</v>
      </c>
      <c r="M59" s="244" t="s">
        <v>486</v>
      </c>
      <c r="N59" s="29"/>
      <c r="O59" s="172"/>
    </row>
    <row r="60" spans="1:15" ht="12.75" customHeight="1" x14ac:dyDescent="0.3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62.432366268839417</v>
      </c>
      <c r="J60" s="245">
        <f>12.02*Kow^0.57</f>
        <v>62.432366268839417</v>
      </c>
      <c r="K60" s="245">
        <f t="shared" si="3"/>
        <v>7.6196413206296689E-6</v>
      </c>
      <c r="L60" s="245">
        <f t="shared" si="3"/>
        <v>7.6196413206296689E-6</v>
      </c>
      <c r="M60" s="244" t="s">
        <v>486</v>
      </c>
      <c r="N60" s="29"/>
      <c r="O60" s="172"/>
    </row>
    <row r="61" spans="1:15" ht="12.75" customHeight="1" x14ac:dyDescent="0.3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46.246235287847753</v>
      </c>
      <c r="J61" s="245">
        <f>11.22*Kow^0.49</f>
        <v>46.246235287847753</v>
      </c>
      <c r="K61" s="245">
        <f t="shared" si="3"/>
        <v>7.6196413206296689E-6</v>
      </c>
      <c r="L61" s="245">
        <f t="shared" si="3"/>
        <v>7.6196413206296689E-6</v>
      </c>
      <c r="M61" s="244" t="s">
        <v>486</v>
      </c>
      <c r="N61" s="29"/>
      <c r="O61" s="172"/>
    </row>
    <row r="62" spans="1:15" ht="12.75" customHeight="1" x14ac:dyDescent="0.3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60.9609465157993</v>
      </c>
      <c r="J62" s="245">
        <f>14.79*Kow^0.49</f>
        <v>60.9609465157993</v>
      </c>
      <c r="K62" s="245">
        <f t="shared" si="3"/>
        <v>7.6196413206296689E-6</v>
      </c>
      <c r="L62" s="245">
        <f t="shared" si="3"/>
        <v>7.6196413206296689E-6</v>
      </c>
      <c r="M62" s="244" t="s">
        <v>486</v>
      </c>
      <c r="N62" s="29"/>
      <c r="O62" s="172"/>
    </row>
    <row r="63" spans="1:15" ht="12.75" customHeight="1" x14ac:dyDescent="0.3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75.256430802739459</v>
      </c>
      <c r="J63" s="245">
        <f>31.62*Kow^0.3</f>
        <v>75.256430802739459</v>
      </c>
      <c r="K63" s="245">
        <f t="shared" si="3"/>
        <v>7.6196413206296689E-6</v>
      </c>
      <c r="L63" s="245">
        <f t="shared" si="3"/>
        <v>7.6196413206296689E-6</v>
      </c>
      <c r="M63" s="244" t="s">
        <v>486</v>
      </c>
      <c r="N63" s="29"/>
      <c r="O63" s="172"/>
    </row>
    <row r="64" spans="1:15" ht="12.75" customHeight="1" x14ac:dyDescent="0.3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99.979555302641131</v>
      </c>
      <c r="J64" s="247">
        <f>25.7*Kow^0.47</f>
        <v>99.979555302641131</v>
      </c>
      <c r="K64" s="247">
        <f t="shared" si="3"/>
        <v>7.6196413206296689E-6</v>
      </c>
      <c r="L64" s="247">
        <f t="shared" si="3"/>
        <v>7.6196413206296689E-6</v>
      </c>
      <c r="M64" s="246" t="s">
        <v>486</v>
      </c>
      <c r="N64" s="29"/>
      <c r="O64" s="172"/>
    </row>
    <row r="65" spans="1:15" s="26" customFormat="1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3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9.9999999999999995E-21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9.9999999999999995E-21</v>
      </c>
      <c r="M66" s="36" t="s">
        <v>116</v>
      </c>
      <c r="N66" s="29"/>
      <c r="O66" s="172"/>
    </row>
    <row r="67" spans="1:15" s="26" customFormat="1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3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9.9999999999999995E-21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9.9999999999999995E-21</v>
      </c>
      <c r="M70" s="36" t="s">
        <v>116</v>
      </c>
      <c r="N70" s="29"/>
      <c r="O70" s="172"/>
    </row>
    <row r="71" spans="1:15" s="26" customFormat="1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3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3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9.9999999999999995E-21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9.9999999999999995E-21</v>
      </c>
      <c r="M74" s="36" t="s">
        <v>116</v>
      </c>
      <c r="N74" s="29"/>
      <c r="O74" s="172"/>
    </row>
    <row r="75" spans="1:15" s="26" customFormat="1" ht="12.75" customHeight="1" x14ac:dyDescent="0.3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9.9999999999999995E-21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9.9999999999999995E-21</v>
      </c>
      <c r="M75" s="36" t="s">
        <v>116</v>
      </c>
      <c r="N75" s="29"/>
      <c r="O75" s="172"/>
    </row>
    <row r="76" spans="1:15" s="26" customFormat="1" ht="12.75" customHeight="1" x14ac:dyDescent="0.3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3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2.6042864638440033</v>
      </c>
      <c r="M80" s="36" t="s">
        <v>716</v>
      </c>
      <c r="N80" s="29"/>
      <c r="O80" s="172"/>
    </row>
    <row r="81" spans="1:15" s="26" customFormat="1" ht="12.75" customHeight="1" x14ac:dyDescent="0.3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3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2.6042864638440033</v>
      </c>
      <c r="M82" s="36" t="s">
        <v>716</v>
      </c>
      <c r="N82" s="29"/>
      <c r="O82" s="172"/>
    </row>
    <row r="83" spans="1:15" s="26" customFormat="1" ht="12.75" customHeight="1" x14ac:dyDescent="0.3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2.6042864638440033</v>
      </c>
      <c r="M85" s="36" t="s">
        <v>2412</v>
      </c>
      <c r="N85" s="29"/>
      <c r="O85" s="172"/>
    </row>
    <row r="86" spans="1:15" s="26" customFormat="1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3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3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3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3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3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3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3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3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3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3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3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3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3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3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3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3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3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3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3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3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3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3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3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3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3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3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3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3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9.8813676055283326E-6</v>
      </c>
      <c r="L155" s="346">
        <f t="shared" ref="L155:L160" si="17">IF(ISBLANK(I155), IF(ISNUMBER(J155)=FALSE, K155, J155), I155)</f>
        <v>9.8813676055283326E-6</v>
      </c>
      <c r="M155" s="36" t="s">
        <v>1505</v>
      </c>
      <c r="N155" s="29"/>
      <c r="O155" s="172"/>
    </row>
    <row r="156" spans="1:15" s="26" customFormat="1" ht="12.75" customHeight="1" x14ac:dyDescent="0.3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1.0253040317020322E-9</v>
      </c>
      <c r="L156" s="346">
        <f t="shared" si="17"/>
        <v>1.0253040317020322E-9</v>
      </c>
      <c r="M156" s="36" t="s">
        <v>1505</v>
      </c>
      <c r="N156" s="29"/>
      <c r="O156" s="172"/>
    </row>
    <row r="157" spans="1:15" s="26" customFormat="1" ht="12.75" customHeight="1" x14ac:dyDescent="0.3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3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3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3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3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3"/>
  <cols>
    <col min="1" max="1" width="2.6640625" style="26" customWidth="1"/>
    <col min="2" max="2" width="26.88671875" style="26" customWidth="1"/>
    <col min="3" max="12" width="7.6640625" style="28" customWidth="1"/>
    <col min="13" max="23" width="9.109375" style="28" customWidth="1"/>
    <col min="24" max="26" width="2.6640625" style="26" customWidth="1"/>
    <col min="27" max="27" width="21" style="26" customWidth="1"/>
    <col min="28" max="35" width="9.109375" style="26" customWidth="1"/>
    <col min="36" max="36" width="8.44140625" style="26" bestFit="1" customWidth="1"/>
    <col min="37" max="37" width="8.6640625" style="26" customWidth="1"/>
    <col min="38" max="41" width="9.109375" style="26" customWidth="1"/>
    <col min="42" max="44" width="2.6640625" style="26" customWidth="1"/>
    <col min="45" max="60" width="10.6640625" style="26" customWidth="1"/>
    <col min="61" max="61" width="9.109375" style="26" customWidth="1"/>
    <col min="62" max="62" width="11.5546875" style="26" customWidth="1"/>
    <col min="63" max="64" width="2.6640625" style="26" customWidth="1"/>
    <col min="65" max="65" width="2.6640625" customWidth="1"/>
    <col min="67" max="67" width="30.33203125" customWidth="1"/>
    <col min="68" max="68" width="10.109375" customWidth="1"/>
    <col min="69" max="69" width="9.109375" style="183" customWidth="1"/>
    <col min="70" max="102" width="9.109375" style="179"/>
    <col min="103" max="103" width="3.5546875" customWidth="1"/>
  </cols>
  <sheetData>
    <row r="1" spans="1:103" ht="12.75" customHeight="1" x14ac:dyDescent="0.3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3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3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Sb(III)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3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3">
      <c r="A5" s="29"/>
      <c r="B5" s="20" t="s">
        <v>1360</v>
      </c>
      <c r="C5" s="104" t="str">
        <f>ChemName</f>
        <v>Sb(III)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Sb(III)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Sb(III)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3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3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3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1.955784278052216E-26</v>
      </c>
      <c r="AY8" s="75"/>
      <c r="AZ8" s="295">
        <f>output!AF12</f>
        <v>7.2658870474780106E-6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3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5.9329786864386301E-3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3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0.18684372716400222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3">
      <c r="A11" s="29"/>
      <c r="B11" s="65" t="s">
        <v>446</v>
      </c>
      <c r="C11" s="517">
        <f>M.aR*Molweight</f>
        <v>19834.490020791491</v>
      </c>
      <c r="D11" s="117">
        <f>C11/$C$51</f>
        <v>2.497490015485364E-6</v>
      </c>
      <c r="E11" s="517">
        <f>M.aC*Molweight</f>
        <v>19750.924346705742</v>
      </c>
      <c r="F11" s="117">
        <f>E11/$E$51</f>
        <v>6.3262262472307289E-6</v>
      </c>
      <c r="G11" s="517">
        <f>M.aM*Molweight</f>
        <v>3028.2530806924133</v>
      </c>
      <c r="H11" s="117">
        <f>G11/$G$51</f>
        <v>1.2089870553080004E-8</v>
      </c>
      <c r="I11" s="517">
        <f>M.aA*Molweight</f>
        <v>131.88773784778024</v>
      </c>
      <c r="J11" s="117">
        <f>I11/$I$51</f>
        <v>7.956879136449307E-10</v>
      </c>
      <c r="K11" s="517">
        <f>M.aT*Molweight</f>
        <v>234.4129951062973</v>
      </c>
      <c r="L11" s="118">
        <f>K11/$K$51</f>
        <v>3.7970110566801064E-10</v>
      </c>
      <c r="M11" s="320">
        <f>C.aR*(Molweight*1000)</f>
        <v>8.6398440653358399E-8</v>
      </c>
      <c r="N11" s="320">
        <f>C.aC*(Molweight*1000)</f>
        <v>2.7434697151377908E-9</v>
      </c>
      <c r="O11" s="320">
        <f>C.aM*(Molweight*1000)</f>
        <v>3.9038378437615789E-11</v>
      </c>
      <c r="P11" s="320">
        <f>C.aA*(Molweight*1000)</f>
        <v>3.1032408905360054E-12</v>
      </c>
      <c r="Q11" s="321">
        <f>C.aT*(Molweight*1000)</f>
        <v>1.8385332949513513E-12</v>
      </c>
      <c r="R11" s="119" t="s">
        <v>1493</v>
      </c>
      <c r="S11" s="323">
        <f>F.aR</f>
        <v>1.6813423221396697E-6</v>
      </c>
      <c r="T11" s="323">
        <f>F.aC</f>
        <v>5.3388830940553909E-8</v>
      </c>
      <c r="U11" s="323">
        <f>F.aM</f>
        <v>7.5969979734022857E-10</v>
      </c>
      <c r="V11" s="323">
        <f>F.aA</f>
        <v>5.5728405657933638E-11</v>
      </c>
      <c r="W11" s="324">
        <f>F.aT</f>
        <v>3.7410468237838449E-11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2.497490015485364E-6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3">
      <c r="A12" s="29"/>
      <c r="B12" s="121" t="s">
        <v>714</v>
      </c>
      <c r="C12" s="318">
        <f>FRgas.aR*C11</f>
        <v>2.1737135841913555E-6</v>
      </c>
      <c r="D12" s="122">
        <f>C12/$C$51</f>
        <v>2.7370645614543398E-16</v>
      </c>
      <c r="E12" s="318">
        <f>FRgas.aC*E11</f>
        <v>2.1645554036310341E-6</v>
      </c>
      <c r="F12" s="122">
        <f>E12/$E$51</f>
        <v>6.9330766336106628E-16</v>
      </c>
      <c r="G12" s="318">
        <f>FRgas.aM*G11</f>
        <v>3.3187416721933669E-7</v>
      </c>
      <c r="H12" s="122">
        <f>G12/$G$51</f>
        <v>1.3249605018731089E-18</v>
      </c>
      <c r="I12" s="318">
        <f>FRgas.aA*I11</f>
        <v>3.5432624311340459E-9</v>
      </c>
      <c r="J12" s="122">
        <f>I12/$I$51</f>
        <v>2.1376749175723048E-20</v>
      </c>
      <c r="K12" s="318">
        <f>FRgas.aT*K11</f>
        <v>3.9811981636809637E-8</v>
      </c>
      <c r="L12" s="123">
        <f>K12/$K$51</f>
        <v>6.448726718190829E-20</v>
      </c>
      <c r="M12" s="320">
        <f>FRgas.aR*M11</f>
        <v>9.4686308498120626E-18</v>
      </c>
      <c r="N12" s="320">
        <f>FRgas.aC*N11</f>
        <v>3.0066401411689192E-19</v>
      </c>
      <c r="O12" s="320">
        <f>FRgas.aM*O11</f>
        <v>4.278317890991689E-21</v>
      </c>
      <c r="P12" s="320">
        <f>FRgas.aA*P11</f>
        <v>8.3370880732565781E-23</v>
      </c>
      <c r="Q12" s="320">
        <f>FRgas.aT*Q11</f>
        <v>3.1225083636713442E-22</v>
      </c>
      <c r="R12" s="120" t="s">
        <v>1493</v>
      </c>
      <c r="S12" s="325">
        <f>S11*FRgas.aR</f>
        <v>1.8426269803154717E-16</v>
      </c>
      <c r="T12" s="325">
        <f>T11*FRgas.aC</f>
        <v>5.8510214751136188E-18</v>
      </c>
      <c r="U12" s="325">
        <f>U11*FRgas.aM</f>
        <v>8.3257485705698883E-20</v>
      </c>
      <c r="V12" s="325">
        <f>V11*FRgas.aA</f>
        <v>1.4971851768559062E-21</v>
      </c>
      <c r="W12" s="326">
        <f>W11*FRgas.aT</f>
        <v>6.3536787874490303E-21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5.9329786864386301E-3</v>
      </c>
      <c r="AE12" s="325">
        <f>k.aR.aC*M.aR*Molweight</f>
        <v>0.18684372716400222</v>
      </c>
      <c r="AF12" s="325">
        <f>kesc.aR*M.aR*Molweight</f>
        <v>7.2658870474780106E-6</v>
      </c>
      <c r="AG12" s="326">
        <f>KDEG.aR*M.aR*Molweight</f>
        <v>1.955784278052216E-26</v>
      </c>
      <c r="AH12" s="325">
        <f>SUM(AH13:AH15)</f>
        <v>4.6607968608840273E-3</v>
      </c>
      <c r="AI12" s="325">
        <f>SUM(AI13:AI15)</f>
        <v>3.4353924898799939E-17</v>
      </c>
      <c r="AJ12" s="325">
        <f>SUM(AJ18:AJ20)</f>
        <v>0.13151910861215099</v>
      </c>
      <c r="AK12" s="325">
        <f>SUM(AK18:AK20)</f>
        <v>2.5595076070385662E-16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1026</v>
      </c>
      <c r="BO12" s="409" t="str">
        <f>ChemName</f>
        <v>Sb(III)</v>
      </c>
      <c r="BP12" s="541" t="str">
        <f>substances!D6</f>
        <v>Metal</v>
      </c>
      <c r="BQ12" s="542" t="str">
        <f>substances!E6</f>
        <v/>
      </c>
      <c r="BR12" s="425">
        <f>engine!D45</f>
        <v>162898.24261491038</v>
      </c>
      <c r="BS12" s="425"/>
      <c r="BT12" s="425">
        <f>engine!F45</f>
        <v>45293316.363353387</v>
      </c>
      <c r="BU12" s="425">
        <f>engine!G45</f>
        <v>2528533.1353618093</v>
      </c>
      <c r="BV12" s="425">
        <f>engine!H45</f>
        <v>1040347524.3717327</v>
      </c>
      <c r="BW12" s="425">
        <f>engine!I45</f>
        <v>17849471.687485453</v>
      </c>
      <c r="BX12" s="425">
        <f>engine!J45</f>
        <v>2530387099.5084152</v>
      </c>
      <c r="BY12" s="425">
        <f>engine!K45</f>
        <v>60522476535.361671</v>
      </c>
      <c r="BZ12" s="425">
        <f>engine!L45</f>
        <v>937180407.2253387</v>
      </c>
      <c r="CA12" s="425">
        <f>engine!M45</f>
        <v>162211.92794600641</v>
      </c>
      <c r="CB12" s="425">
        <f>engine!N45</f>
        <v>21178203.252265774</v>
      </c>
      <c r="CC12" s="425">
        <f>engine!O45</f>
        <v>4393653.0945963217</v>
      </c>
      <c r="CD12" s="425">
        <f>engine!P45</f>
        <v>12425937227.444244</v>
      </c>
      <c r="CE12" s="425">
        <f>engine!Q45</f>
        <v>100918336.01325338</v>
      </c>
      <c r="CF12" s="425">
        <f>engine!R45</f>
        <v>4385871231.6222153</v>
      </c>
      <c r="CG12" s="425">
        <f>engine!S45</f>
        <v>1391591051.6064494</v>
      </c>
      <c r="CH12" s="425">
        <f>engine!T45</f>
        <v>6795727472.6056948</v>
      </c>
      <c r="CI12" s="425">
        <f>engine!U45</f>
        <v>515404093.18757379</v>
      </c>
      <c r="CJ12" s="425">
        <f>engine!V45</f>
        <v>24870.672476120344</v>
      </c>
      <c r="CK12" s="425">
        <f>engine!W45</f>
        <v>64856727646.974464</v>
      </c>
      <c r="CL12" s="611"/>
      <c r="CM12" s="425">
        <f>engine!Y45</f>
        <v>45783320988.957199</v>
      </c>
      <c r="CN12" s="425">
        <f>engine!Z45</f>
        <v>827676349.65877712</v>
      </c>
      <c r="CO12" s="425">
        <f>engine!AA45</f>
        <v>1083.1778732570649</v>
      </c>
      <c r="CP12" s="425">
        <f>engine!AB45</f>
        <v>51955257067.873955</v>
      </c>
      <c r="CQ12" s="425"/>
      <c r="CR12" s="425">
        <f>engine!AD45</f>
        <v>30100382286.837173</v>
      </c>
      <c r="CS12" s="425">
        <f>engine!AE45</f>
        <v>59910149.718786307</v>
      </c>
      <c r="CT12" s="425">
        <f>engine!AF45</f>
        <v>1925.2052817534272</v>
      </c>
      <c r="CU12" s="425">
        <f>engine!AG45</f>
        <v>149227779401.01059</v>
      </c>
      <c r="CV12" s="425"/>
      <c r="CW12" s="425">
        <f>engine!AI45</f>
        <v>113134177542.24155</v>
      </c>
      <c r="CX12" s="425">
        <f>engine!AJ45</f>
        <v>23361642.725579984</v>
      </c>
      <c r="CY12" s="591"/>
    </row>
    <row r="13" spans="1:103" ht="12.75" customHeight="1" x14ac:dyDescent="0.3">
      <c r="A13" s="29"/>
      <c r="B13" s="121" t="s">
        <v>1547</v>
      </c>
      <c r="C13" s="318">
        <f>(1-FRgas.aR)*C11</f>
        <v>19834.490018617777</v>
      </c>
      <c r="D13" s="122">
        <f>C13/$C$51</f>
        <v>2.4974900152116576E-6</v>
      </c>
      <c r="E13" s="318">
        <f>(1-FRgas.aC)*E11</f>
        <v>19750.924344541188</v>
      </c>
      <c r="F13" s="122">
        <f>E13/$E$51</f>
        <v>6.3262262465374215E-6</v>
      </c>
      <c r="G13" s="318">
        <f>(1-FRgas.aM)*G11</f>
        <v>3028.2530803605391</v>
      </c>
      <c r="H13" s="122">
        <f>G13/$G$51</f>
        <v>1.2089870551755044E-8</v>
      </c>
      <c r="I13" s="318">
        <f>(1-FRgas.aA)*I11</f>
        <v>131.88773784423699</v>
      </c>
      <c r="J13" s="122">
        <f>I13/$I$51</f>
        <v>7.9568791362355397E-10</v>
      </c>
      <c r="K13" s="318">
        <f>(1-FRgas.aT)*K11</f>
        <v>234.41299506648531</v>
      </c>
      <c r="L13" s="123">
        <f>K13/$K$51</f>
        <v>3.7970110560352333E-10</v>
      </c>
      <c r="M13" s="320">
        <f>(1-FRgas.aR)*M11</f>
        <v>8.6398440643889775E-8</v>
      </c>
      <c r="N13" s="320">
        <f>(1-FRgas.aC)*N11</f>
        <v>2.7434697148371268E-9</v>
      </c>
      <c r="O13" s="320">
        <f>(1-FRgas.aM)*O11</f>
        <v>3.9038378433337475E-11</v>
      </c>
      <c r="P13" s="320">
        <f>(1-FRgas.aA)*P11</f>
        <v>3.1032408904526346E-12</v>
      </c>
      <c r="Q13" s="320">
        <f>(1-FRgas.aT)*Q11</f>
        <v>1.8385332946391003E-12</v>
      </c>
      <c r="R13" s="120" t="s">
        <v>1493</v>
      </c>
      <c r="S13" s="325">
        <f>S11*(1-FRgas.aR)</f>
        <v>1.681342321955407E-6</v>
      </c>
      <c r="T13" s="325">
        <f>T11*(1-FRgas.aC)</f>
        <v>5.338883093470289E-8</v>
      </c>
      <c r="U13" s="325">
        <f>U11*(1-FRgas.aM)</f>
        <v>7.5969979725697108E-10</v>
      </c>
      <c r="V13" s="325">
        <f>V11*(1-FRgas.aA)</f>
        <v>5.5728405656436454E-11</v>
      </c>
      <c r="W13" s="326">
        <f>W11*(1-FRgas.aT)</f>
        <v>3.7410468231484771E-11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3.7524420564981127E-2</v>
      </c>
      <c r="AF13" s="330"/>
      <c r="AG13" s="326">
        <f>KDEG.w0R*M.w0R*Molweight</f>
        <v>6.3412489986257763E-14</v>
      </c>
      <c r="AH13" s="325">
        <f>k.aR.w0R*M.aR*Molweight</f>
        <v>3.3896677479358216E-4</v>
      </c>
      <c r="AI13" s="325">
        <f>k.w0R.aR*M.w0R*Molweight</f>
        <v>2.8287873773005835E-18</v>
      </c>
      <c r="AJ13" s="325"/>
      <c r="AK13" s="325"/>
      <c r="AL13" s="325">
        <f>SUM(AL18:AL20)*AREAFRAC.w0R/(AREAFRAC.w0R+AREAFRAC.w1R)</f>
        <v>3.7185453790250962E-2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3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3.7524420564981127E-2</v>
      </c>
      <c r="AE14" s="325">
        <f>(WATERflow.w1R.w0R+WATERflow.w1R.w2R)*C.w1R*Molweight</f>
        <v>0.40062680990881444</v>
      </c>
      <c r="AF14" s="330"/>
      <c r="AG14" s="326">
        <f>KDEG.w1R*M.w1R*Molweight</f>
        <v>2.0834866393181215E-14</v>
      </c>
      <c r="AH14" s="325">
        <f>k.aR.w1R*M.aR*Molweight</f>
        <v>3.7286345227294047E-3</v>
      </c>
      <c r="AI14" s="325">
        <f>k.w1R.aR*M.w1R*Molweight</f>
        <v>3.0980966616906546E-17</v>
      </c>
      <c r="AJ14" s="325"/>
      <c r="AK14" s="325"/>
      <c r="AL14" s="325">
        <f>SUM(AL18:AL20)*AREAFRAC.w1R/(AREAFRAC.w0R+AREAFRAC.w1R)</f>
        <v>0.40903999169276062</v>
      </c>
      <c r="AM14" s="325">
        <f>k.w1R.sd1R*M.w1R*Molweight</f>
        <v>3.758149076009897</v>
      </c>
      <c r="AN14" s="326">
        <f>k.sd1R.w1R*M.sd1R*Molweight</f>
        <v>3.391384919300616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3">
      <c r="A15" s="29"/>
      <c r="B15" s="66" t="s">
        <v>356</v>
      </c>
      <c r="C15" s="318">
        <f>M.w0R*Molweight</f>
        <v>15653044.007106414</v>
      </c>
      <c r="D15" s="122">
        <f>C15/$C$51</f>
        <v>1.9709768730490039E-3</v>
      </c>
      <c r="E15" s="318">
        <f>M.w0C*Molweight</f>
        <v>2578658.0279958807</v>
      </c>
      <c r="F15" s="122">
        <f>E15/$E$51</f>
        <v>8.259448425288838E-4</v>
      </c>
      <c r="G15" s="318"/>
      <c r="H15" s="122"/>
      <c r="I15" s="318"/>
      <c r="J15" s="122"/>
      <c r="K15" s="318"/>
      <c r="L15" s="123"/>
      <c r="M15" s="320">
        <f>C.w0R*Molweight</f>
        <v>2.7392998218675094E-4</v>
      </c>
      <c r="N15" s="320">
        <f>C.w0C*Molweight</f>
        <v>2.9590090514721051E-6</v>
      </c>
      <c r="O15" s="320"/>
      <c r="P15" s="320"/>
      <c r="Q15" s="320"/>
      <c r="R15" s="120" t="s">
        <v>1489</v>
      </c>
      <c r="S15" s="325">
        <f>F.w0R</f>
        <v>2.0359240370411098E-20</v>
      </c>
      <c r="T15" s="325">
        <f>F.w0C</f>
        <v>2.199218065004368E-22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0.42574265706461956</v>
      </c>
      <c r="AE15" s="325">
        <f>k.w2R.w2C*M.w2R*Molweight</f>
        <v>0.42174283609306512</v>
      </c>
      <c r="AF15" s="330"/>
      <c r="AG15" s="326">
        <f>KDEG.w2R*M.w2R*Molweight</f>
        <v>1.2198595170215045E-15</v>
      </c>
      <c r="AH15" s="325">
        <f>k.aR.w2R*M.aR*Molweight</f>
        <v>5.9319556336104046E-4</v>
      </c>
      <c r="AI15" s="325">
        <f>k.w2R.aR*M.w2R*Molweight</f>
        <v>5.4417090459280667E-19</v>
      </c>
      <c r="AJ15" s="325"/>
      <c r="AK15" s="325"/>
      <c r="AL15" s="325"/>
      <c r="AM15" s="325">
        <f>k.w2R.sd2R*M.w2R*Molweight</f>
        <v>2.2555169620648473E-2</v>
      </c>
      <c r="AN15" s="326">
        <f>k.sd2R.w2R*M.sd2R*Molweight</f>
        <v>1.7962153085734119E-2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3">
      <c r="A16" s="29"/>
      <c r="B16" s="121" t="s">
        <v>715</v>
      </c>
      <c r="C16" s="318">
        <f>FRw.w0R*C15</f>
        <v>15613986.556574339</v>
      </c>
      <c r="D16" s="122">
        <f>C16/$C$51</f>
        <v>1.966058894687477E-3</v>
      </c>
      <c r="E16" s="318">
        <f>FRw.w0C*E15</f>
        <v>2572223.7645822046</v>
      </c>
      <c r="F16" s="122">
        <f>E16/$E$51</f>
        <v>8.2388394627032552E-4</v>
      </c>
      <c r="G16" s="318"/>
      <c r="H16" s="122"/>
      <c r="I16" s="318"/>
      <c r="J16" s="122"/>
      <c r="K16" s="318"/>
      <c r="L16" s="123"/>
      <c r="M16" s="320">
        <f>M15*FRw.w0R</f>
        <v>2.7324647253050425E-4</v>
      </c>
      <c r="N16" s="320">
        <f>N15*FRw.w0C</f>
        <v>2.9516257367890718E-6</v>
      </c>
      <c r="O16" s="320"/>
      <c r="P16" s="320"/>
      <c r="Q16" s="320"/>
      <c r="R16" s="120" t="s">
        <v>1489</v>
      </c>
      <c r="S16" s="325">
        <f>S15*FRw.w0R</f>
        <v>2.0308440026191982E-20</v>
      </c>
      <c r="T16" s="325">
        <f>T15*FRw.w0C</f>
        <v>2.1937305795833753E-22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0.36676415670876705</v>
      </c>
      <c r="AG16" s="326">
        <f>KDEG.sd1R*M.sd1R*Molweight</f>
        <v>5.144510798020153E-13</v>
      </c>
      <c r="AH16" s="325"/>
      <c r="AI16" s="325"/>
      <c r="AJ16" s="325"/>
      <c r="AK16" s="325"/>
      <c r="AL16" s="325"/>
      <c r="AM16" s="325">
        <f>k.w1R.sd1R*M.w1R*Molweight</f>
        <v>3.758149076009897</v>
      </c>
      <c r="AN16" s="326">
        <f>k.sd1R.w1R*M.sd1R*Molweight</f>
        <v>3.391384919300616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3">
      <c r="A17" s="29"/>
      <c r="B17" s="121" t="s">
        <v>492</v>
      </c>
      <c r="C17" s="318">
        <f>(1-FRw.w0R)*C15</f>
        <v>39057.450532075694</v>
      </c>
      <c r="D17" s="122">
        <f>C17/$C$51</f>
        <v>4.9179783615268383E-6</v>
      </c>
      <c r="E17" s="318">
        <f>(1-FRw.w0C)*E15</f>
        <v>6434.2634136762426</v>
      </c>
      <c r="F17" s="122">
        <f>E17/$E$51</f>
        <v>2.0608962585583576E-6</v>
      </c>
      <c r="G17" s="318"/>
      <c r="H17" s="122"/>
      <c r="I17" s="318"/>
      <c r="J17" s="122"/>
      <c r="K17" s="318"/>
      <c r="L17" s="123"/>
      <c r="M17" s="320">
        <f>M16*Kp.susp1R</f>
        <v>1.3662323626525212</v>
      </c>
      <c r="N17" s="320">
        <f>N16*Kp.susp1C</f>
        <v>1.4758128683945359E-2</v>
      </c>
      <c r="O17" s="320"/>
      <c r="P17" s="320"/>
      <c r="Q17" s="320"/>
      <c r="R17" s="120" t="s">
        <v>1494</v>
      </c>
      <c r="S17" s="325">
        <f>S15*(1-FRw.w0R)</f>
        <v>5.0800344219115565E-23</v>
      </c>
      <c r="T17" s="325">
        <f>T15*(1-FRw.w0C)</f>
        <v>5.4874854209928103E-25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4.5930165349055228E-3</v>
      </c>
      <c r="AG17" s="326">
        <f>KDEG.sd2R*M.sd2R*Molweight</f>
        <v>8.8265505212480077E-15</v>
      </c>
      <c r="AH17" s="325"/>
      <c r="AI17" s="325"/>
      <c r="AJ17" s="325"/>
      <c r="AK17" s="325"/>
      <c r="AL17" s="325"/>
      <c r="AM17" s="325">
        <f>k.w2R.sd2R*M.w2R*Molweight</f>
        <v>2.2555169620648473E-2</v>
      </c>
      <c r="AN17" s="326">
        <f>k.sd2R.w2R*M.sd2R*Molweight</f>
        <v>1.7962153085734119E-2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3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1.9515989607352962E-4</v>
      </c>
      <c r="AG18" s="326">
        <f>KDEG.s1R*M.s1R*Molweight</f>
        <v>1.2512745454412733E-12</v>
      </c>
      <c r="AH18" s="325"/>
      <c r="AI18" s="325"/>
      <c r="AJ18" s="325">
        <f>k.aR.s1R*M.aR*Molweight</f>
        <v>3.6608411675547188E-2</v>
      </c>
      <c r="AK18" s="325">
        <f>k.s1R.aR*M.s1R*Molweight</f>
        <v>2.0886302174562791E-17</v>
      </c>
      <c r="AL18" s="325">
        <f>(k.s1R.w1R+k.s1R.w0R)*M.s1R*Molweight</f>
        <v>3.6413251778222362E-2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3">
      <c r="A19" s="29"/>
      <c r="B19" s="66" t="s">
        <v>447</v>
      </c>
      <c r="C19" s="318">
        <f>M.w1R*Molweight</f>
        <v>5514914.2004019087</v>
      </c>
      <c r="D19" s="122">
        <f>C19/$C$51</f>
        <v>6.9441881980954461E-4</v>
      </c>
      <c r="E19" s="318">
        <f>M.w1C*Molweight</f>
        <v>534971.20079804817</v>
      </c>
      <c r="F19" s="122">
        <f>E19/$E$51</f>
        <v>1.7135141589287838E-4</v>
      </c>
      <c r="G19" s="318"/>
      <c r="H19" s="122"/>
      <c r="I19" s="318"/>
      <c r="J19" s="122"/>
      <c r="K19" s="318"/>
      <c r="L19" s="123"/>
      <c r="M19" s="320">
        <f>C.w1R*Molweight</f>
        <v>2.9245939910467895E-4</v>
      </c>
      <c r="N19" s="320">
        <f>C.w1C*Molweight</f>
        <v>1.8602401153273544E-6</v>
      </c>
      <c r="O19" s="320"/>
      <c r="P19" s="320"/>
      <c r="Q19" s="320"/>
      <c r="R19" s="120" t="s">
        <v>1489</v>
      </c>
      <c r="S19" s="325">
        <f>F.w1R</f>
        <v>2.1736398321301167E-20</v>
      </c>
      <c r="T19" s="325">
        <f>F.w1C</f>
        <v>1.3825823428415739E-22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2.124141596078365E-3</v>
      </c>
      <c r="AG19" s="326">
        <f>KDEG.s2R*M.s2R*Molweight</f>
        <v>2.9928319793630438E-11</v>
      </c>
      <c r="AH19" s="325"/>
      <c r="AI19" s="325"/>
      <c r="AJ19" s="325">
        <f>k.aR.s2R*M.aR*Molweight</f>
        <v>8.1352025945660392E-2</v>
      </c>
      <c r="AK19" s="325">
        <f>k.s2R.aR*M.s2R*Molweight</f>
        <v>2.2732879105723356E-16</v>
      </c>
      <c r="AL19" s="325">
        <f>(k.s2R.w1R+k.s2R.w0R)*M.s2R*Molweight</f>
        <v>0.39632580415729945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3">
      <c r="A20" s="29"/>
      <c r="B20" s="121" t="s">
        <v>715</v>
      </c>
      <c r="C20" s="318">
        <f>FRw.w1R*C19</f>
        <v>5130145.8725505611</v>
      </c>
      <c r="D20" s="122">
        <f>C20/$C$51</f>
        <v>6.4597012987214673E-4</v>
      </c>
      <c r="E20" s="318">
        <f>FRw.w1C*E19</f>
        <v>497646.96203388175</v>
      </c>
      <c r="F20" s="122">
        <f>E20/$E$51</f>
        <v>1.5939645242975524E-4</v>
      </c>
      <c r="G20" s="318"/>
      <c r="H20" s="122"/>
      <c r="I20" s="318"/>
      <c r="J20" s="122"/>
      <c r="K20" s="318"/>
      <c r="L20" s="123"/>
      <c r="M20" s="320">
        <f>M19*FRw.w1R</f>
        <v>2.7205489055408055E-4</v>
      </c>
      <c r="N20" s="320">
        <f>N19*FRw.w1C</f>
        <v>1.7304536032317822E-6</v>
      </c>
      <c r="O20" s="320"/>
      <c r="P20" s="320"/>
      <c r="Q20" s="320"/>
      <c r="R20" s="120" t="s">
        <v>1489</v>
      </c>
      <c r="S20" s="325">
        <f>S19*FRw.w1R</f>
        <v>2.0219878329931509E-20</v>
      </c>
      <c r="T20" s="325">
        <f>T19*FRw.w1C</f>
        <v>1.2861213868156066E-22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7.2281442990196142E-5</v>
      </c>
      <c r="AG20" s="326">
        <f>KDEG.s3R*M.s3R*Molweight</f>
        <v>4.6343501683010112E-13</v>
      </c>
      <c r="AH20" s="325"/>
      <c r="AI20" s="325"/>
      <c r="AJ20" s="325">
        <f>k.aR.s3R*M.aR*Molweight</f>
        <v>1.35586709909434E-2</v>
      </c>
      <c r="AK20" s="325">
        <f>k.s3R.aR*M.s3R*Molweight</f>
        <v>7.7356674720602901E-18</v>
      </c>
      <c r="AL20" s="325">
        <f>(k.s3R.w1R+k.s3R.w0R)*M.s3R*Molweight</f>
        <v>1.3486389547489758E-2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2.0886302174562791E-17</v>
      </c>
      <c r="BE20" s="2"/>
      <c r="BF20" s="296">
        <f>IF(output!AK20&lt;0,"",output!AK20)</f>
        <v>7.7356674720602901E-18</v>
      </c>
      <c r="BG20" s="75"/>
      <c r="BH20" s="296">
        <f>IF(output!AK19&lt;0,"",output!AK19)</f>
        <v>2.2732879105723356E-16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3">
      <c r="A21" s="29"/>
      <c r="B21" s="121" t="s">
        <v>492</v>
      </c>
      <c r="C21" s="318">
        <f>(1-FRw.w1R)*C19</f>
        <v>384768.32785134809</v>
      </c>
      <c r="D21" s="122">
        <f>C21/$C$51</f>
        <v>4.8448689937397958E-5</v>
      </c>
      <c r="E21" s="318">
        <f>(1-FRw.w1C)*E19</f>
        <v>37324.238764166417</v>
      </c>
      <c r="F21" s="122">
        <f>E21/$E$51</f>
        <v>1.1954963463123128E-5</v>
      </c>
      <c r="G21" s="318"/>
      <c r="H21" s="122"/>
      <c r="I21" s="318"/>
      <c r="J21" s="122"/>
      <c r="K21" s="318"/>
      <c r="L21" s="123"/>
      <c r="M21" s="320">
        <f>M20*Kp.susp1R</f>
        <v>1.3602744527704027</v>
      </c>
      <c r="N21" s="320">
        <f>N20*Kp.susp1C</f>
        <v>8.6522680161589104E-3</v>
      </c>
      <c r="O21" s="320"/>
      <c r="P21" s="320"/>
      <c r="Q21" s="320"/>
      <c r="R21" s="120" t="s">
        <v>1494</v>
      </c>
      <c r="S21" s="325">
        <f>S19*(1-FRw.w1R)</f>
        <v>1.5165199913696566E-21</v>
      </c>
      <c r="T21" s="325">
        <f>T19*(1-FRw.w1C)</f>
        <v>9.6460956025967388E-24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5.4417090459280667E-19</v>
      </c>
      <c r="AV21" s="75"/>
      <c r="AW21" s="75"/>
      <c r="AX21" s="288">
        <f>IF(output!AI14&lt;0,"",output!AI14)</f>
        <v>3.0980966616906546E-17</v>
      </c>
      <c r="AY21" s="75"/>
      <c r="AZ21" s="75"/>
      <c r="BA21" s="296">
        <f>IF(output!AI13&lt;0,"",output!AI13)</f>
        <v>2.8287873773005835E-18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3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0.18723207404827041</v>
      </c>
      <c r="AE22" s="325">
        <f>(k.aC.aM+k.aC.aR)*M.aC*Molweight</f>
        <v>3.3224530195435711E-2</v>
      </c>
      <c r="AF22" s="325">
        <f>kesc.aC*M.aC*Molweight</f>
        <v>7.2352747782279855E-6</v>
      </c>
      <c r="AG22" s="326">
        <f>KDEG.aC*M.aC*Molweight</f>
        <v>1.9475442662651513E-26</v>
      </c>
      <c r="AH22" s="325">
        <f>SUM(AH23:AH25)</f>
        <v>8.1671132265277488E-2</v>
      </c>
      <c r="AI22" s="325">
        <f>SUM(AI23:AI25)</f>
        <v>1.3718189854543231E-16</v>
      </c>
      <c r="AJ22" s="325">
        <f>SUM(AJ28:AJ30)</f>
        <v>7.2329176312779186E-2</v>
      </c>
      <c r="AK22" s="325">
        <f>SUM(AK28:AK30)</f>
        <v>4.1266172535880878E-17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3.6608411675547188E-2</v>
      </c>
      <c r="BE22" s="2"/>
      <c r="BF22" s="296">
        <f>IF(output!AJ20&lt;0,"",output!AJ20)</f>
        <v>1.35586709909434E-2</v>
      </c>
      <c r="BG22" s="75"/>
      <c r="BH22" s="296">
        <f>IF(output!AJ19&lt;0,"",output!AJ19)</f>
        <v>8.1352025945660392E-2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3">
      <c r="A23" s="29"/>
      <c r="B23" s="66" t="s">
        <v>448</v>
      </c>
      <c r="C23" s="318">
        <f>M.sd1R*Molweight</f>
        <v>126672714.56750219</v>
      </c>
      <c r="D23" s="122">
        <f>C23/$C$51</f>
        <v>1.5950187755527666E-2</v>
      </c>
      <c r="E23" s="318">
        <f>M.sd1C*Molweight</f>
        <v>12287816.592973731</v>
      </c>
      <c r="F23" s="122">
        <f>E23/$E$51</f>
        <v>3.9357908767744939E-3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0.5167334172135285</v>
      </c>
      <c r="N23" s="320">
        <f>C.sd1C*(Molweight*1000)/(FRACw.sdC*1000+FRACs.sdC*RHOsolid)</f>
        <v>3.2867749662808267E-3</v>
      </c>
      <c r="O23" s="320"/>
      <c r="P23" s="320"/>
      <c r="Q23" s="320"/>
      <c r="R23" s="120" t="s">
        <v>1495</v>
      </c>
      <c r="S23" s="325">
        <f>F.sd1R</f>
        <v>3.9915725625071501E-20</v>
      </c>
      <c r="T23" s="325">
        <f>F.sd1C</f>
        <v>2.5389108460002331E-22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6.1817144506750576E-3</v>
      </c>
      <c r="AF23" s="330"/>
      <c r="AG23" s="326">
        <f>KDEG.w0C*M.w0C*Molweight</f>
        <v>1.0446474583731764E-14</v>
      </c>
      <c r="AH23" s="325">
        <f>k.aC.w0C*M.aC*Molweight</f>
        <v>1.8641540287767154E-4</v>
      </c>
      <c r="AI23" s="325">
        <f>k.w0C.aC*M.w0C*Molweight</f>
        <v>4.6601001547417245E-19</v>
      </c>
      <c r="AJ23" s="325"/>
      <c r="AK23" s="325"/>
      <c r="AL23" s="325">
        <f>SUM(AL28:AL30)*AREAFRAC.w0C/(AREAFRAC.w1C+AREAFRAC.w0C)</f>
        <v>5.9952990478078314E-3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5.9319556336104046E-4</v>
      </c>
      <c r="AV23" s="75"/>
      <c r="AW23" s="75"/>
      <c r="AX23" s="288">
        <f>IF(output!AH14&lt;0,"",output!AH14)</f>
        <v>3.7286345227294047E-3</v>
      </c>
      <c r="AY23" s="291">
        <f>output!AL14</f>
        <v>0.40903999169276062</v>
      </c>
      <c r="AZ23" s="87"/>
      <c r="BA23" s="296">
        <f>IF(output!AH13&lt;0,"",output!AH13)</f>
        <v>3.3896677479358216E-4</v>
      </c>
      <c r="BB23" s="291">
        <f>output!AL13</f>
        <v>3.7185453790250962E-2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3">
      <c r="A24" s="29"/>
      <c r="B24" s="121" t="s">
        <v>717</v>
      </c>
      <c r="C24" s="318">
        <f>C23*FRACw.sdR</f>
        <v>101338171.65400176</v>
      </c>
      <c r="D24" s="122">
        <f>C24/$C$51</f>
        <v>1.2760150204422133E-2</v>
      </c>
      <c r="E24" s="318">
        <f>E23*FRACw.sdC</f>
        <v>9830253.2743789852</v>
      </c>
      <c r="F24" s="122">
        <f>E24/$E$51</f>
        <v>3.1486327014195949E-3</v>
      </c>
      <c r="G24" s="318"/>
      <c r="H24" s="122"/>
      <c r="I24" s="318"/>
      <c r="J24" s="122"/>
      <c r="K24" s="318"/>
      <c r="L24" s="123"/>
      <c r="M24" s="320">
        <f>M25/Kp.sd1R</f>
        <v>5.3705903611895374E-4</v>
      </c>
      <c r="N24" s="320">
        <f>N25/Kp.sd1C</f>
        <v>3.4160596867325517E-6</v>
      </c>
      <c r="O24" s="320"/>
      <c r="P24" s="320"/>
      <c r="Q24" s="320"/>
      <c r="R24" s="120" t="s">
        <v>1489</v>
      </c>
      <c r="S24" s="325">
        <f>S23*FRACw.sdR</f>
        <v>3.1932580500057201E-20</v>
      </c>
      <c r="T24" s="325">
        <f>T23*FRACw.sdC</f>
        <v>2.0311286768001865E-22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6.1817144506750576E-3</v>
      </c>
      <c r="AE24" s="325">
        <f>(k.w1C.w0C+k.w1C.w1R+k.w1C.w2C)*M.w1C*Molweight</f>
        <v>3.8862582042199438E-2</v>
      </c>
      <c r="AF24" s="330"/>
      <c r="AG24" s="326">
        <f>KDEG.w1C*M.w1C*Molweight</f>
        <v>2.0210746872571049E-15</v>
      </c>
      <c r="AH24" s="325">
        <f>k.aC.w1C*M.aC*Molweight</f>
        <v>2.0505694316543866E-3</v>
      </c>
      <c r="AI24" s="325">
        <f>k.w1C.aC*M.w1C*Molweight</f>
        <v>3.0052915259720424E-18</v>
      </c>
      <c r="AJ24" s="518"/>
      <c r="AK24" s="518"/>
      <c r="AL24" s="325">
        <f>SUM(AL28:AL30)*AREAFRAC.w1C/(AREAFRAC.w1C+AREAFRAC.w0C)</f>
        <v>6.5948289525886133E-2</v>
      </c>
      <c r="AM24" s="325">
        <f>k.w1C.sd1C*M.w1C*Molweight</f>
        <v>0.36455717186399217</v>
      </c>
      <c r="AN24" s="326">
        <f>k.sd1C.w1C*M.sd1C*Molweight</f>
        <v>0.32923918049797807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3.7524420564981127E-2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3">
      <c r="A25" s="29"/>
      <c r="B25" s="121" t="s">
        <v>718</v>
      </c>
      <c r="C25" s="318">
        <f>C23*FRACs.sdR</f>
        <v>25334542.913500432</v>
      </c>
      <c r="D25" s="122">
        <f>C25/$C$51</f>
        <v>3.1900375511055325E-3</v>
      </c>
      <c r="E25" s="318">
        <f>E23*FRACs.sdC</f>
        <v>2457563.3185947458</v>
      </c>
      <c r="F25" s="122">
        <f>E25/$E$51</f>
        <v>7.8715817535489861E-4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1.3426475902973845</v>
      </c>
      <c r="N25" s="320">
        <f>C.sd1C*FRACs.sdC/(FRACw.sdC/(Kp.sd1C*RHOsolid/1000)+FRACs.sdC)*(Molweight*1000)/(FRACs.sdC*RHOsolid)</f>
        <v>8.5401492168313796E-3</v>
      </c>
      <c r="O25" s="320"/>
      <c r="P25" s="320"/>
      <c r="Q25" s="320"/>
      <c r="R25" s="120" t="s">
        <v>1494</v>
      </c>
      <c r="S25" s="325">
        <f>S23*(1-FRACw.sdR)</f>
        <v>7.9831451250142988E-21</v>
      </c>
      <c r="T25" s="325">
        <f>T23*(1-FRACw.sdC)</f>
        <v>5.077821692000465E-23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48.382377644742725</v>
      </c>
      <c r="AE25" s="325">
        <f>(k.w2C.w2M+k.w2C.w2R)*M.w2C*Molweight</f>
        <v>47.973557549631451</v>
      </c>
      <c r="AF25" s="330"/>
      <c r="AG25" s="326">
        <f>KDEG.w2C*M.w2C*Molweight</f>
        <v>5.994739627029138E-12</v>
      </c>
      <c r="AH25" s="325">
        <f>k.aC.w2C*M.aC*Molweight</f>
        <v>7.9434147430745436E-2</v>
      </c>
      <c r="AI25" s="325">
        <f>k.w2C.aC*M.w2C*Molweight</f>
        <v>1.337105970039861E-16</v>
      </c>
      <c r="AJ25" s="325"/>
      <c r="AK25" s="325"/>
      <c r="AL25" s="325"/>
      <c r="AM25" s="325">
        <f>k.w2C.sd2C*M.w2C*Molweight</f>
        <v>5.5421287136984949</v>
      </c>
      <c r="AN25" s="326">
        <f>k.sd2C.w2C*M.sd2C*Molweight</f>
        <v>5.0538744711624712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0.40062680990881444</v>
      </c>
      <c r="AT25" s="75"/>
      <c r="AU25" s="75"/>
      <c r="AV25" s="87"/>
      <c r="AW25" s="75"/>
      <c r="AX25" s="289">
        <f>output!AD14</f>
        <v>3.7524420564981127E-2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3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3.5317991365964169E-2</v>
      </c>
      <c r="AG26" s="326">
        <f>KDEG.sd1C*M.sd1C*Molweight</f>
        <v>4.9904042368144136E-14</v>
      </c>
      <c r="AH26" s="325"/>
      <c r="AI26" s="325"/>
      <c r="AJ26" s="325"/>
      <c r="AK26" s="325"/>
      <c r="AL26" s="325"/>
      <c r="AM26" s="325">
        <f>k.w1C.sd1C*M.w1C*Molweight</f>
        <v>0.36455717186399217</v>
      </c>
      <c r="AN26" s="326">
        <f>k.sd1C.w1C*M.sd1C*Molweight</f>
        <v>0.32923918049797807</v>
      </c>
      <c r="AO26" s="329">
        <f>SUM(AC26,AD26,AM26)-SUM(AE26,AF26,AG26,AN26)</f>
        <v>0</v>
      </c>
      <c r="AP26" s="29"/>
      <c r="AQ26" s="438"/>
      <c r="AR26" s="2"/>
      <c r="AS26" s="313">
        <f>output!AE15</f>
        <v>0.42174283609306512</v>
      </c>
      <c r="AT26" s="75"/>
      <c r="AU26" s="285">
        <f>output!AD15</f>
        <v>0.42574265706461956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3">
      <c r="A27" s="29"/>
      <c r="B27" s="66" t="s">
        <v>1463</v>
      </c>
      <c r="C27" s="318">
        <f>M.w2R*Molweight</f>
        <v>307874.19456165395</v>
      </c>
      <c r="D27" s="122">
        <f>C27/$C$51</f>
        <v>3.8766448047684452E-5</v>
      </c>
      <c r="E27" s="318">
        <f>M.w2C*Molweight</f>
        <v>1512982116.8136113</v>
      </c>
      <c r="F27" s="122">
        <f>E27/$E$51</f>
        <v>0.48460856874141189</v>
      </c>
      <c r="G27" s="318">
        <f>M.w2M*Molweight</f>
        <v>7896955158.2956114</v>
      </c>
      <c r="H27" s="122">
        <f>G27/$G$51</f>
        <v>3.1527472467869598E-2</v>
      </c>
      <c r="I27" s="318">
        <f>M.w2A*Molweight</f>
        <v>6326072100.5843334</v>
      </c>
      <c r="J27" s="122">
        <f>I27/$I$51</f>
        <v>3.8165633844527043E-2</v>
      </c>
      <c r="K27" s="318">
        <f>M.w2T*Molweight</f>
        <v>18169974419.86705</v>
      </c>
      <c r="L27" s="123">
        <f>K27/$K$51</f>
        <v>2.9431642106933897E-2</v>
      </c>
      <c r="M27" s="320">
        <f>C.w2R*Molweight</f>
        <v>3.0787419456165353E-5</v>
      </c>
      <c r="N27" s="320">
        <f>C.w2C*Molweight</f>
        <v>2.0371870017229599E-6</v>
      </c>
      <c r="O27" s="320">
        <f>C.w2M*Molweight</f>
        <v>2.0360538948345537E-6</v>
      </c>
      <c r="P27" s="320">
        <f>C.w2A*Molweight</f>
        <v>2.4808125884644442E-6</v>
      </c>
      <c r="Q27" s="320">
        <f>C.w2T*Molweight</f>
        <v>2.035851475615356E-6</v>
      </c>
      <c r="R27" s="120" t="s">
        <v>1489</v>
      </c>
      <c r="S27" s="325">
        <f>F.w2R</f>
        <v>2.2882068917356297E-21</v>
      </c>
      <c r="T27" s="325">
        <f>F.w2C</f>
        <v>1.5140942045284764E-22</v>
      </c>
      <c r="U27" s="325">
        <f>F.w2M</f>
        <v>1.5132520478823773E-22</v>
      </c>
      <c r="V27" s="325">
        <f>F.w2A</f>
        <v>2.6729664299344333E-23</v>
      </c>
      <c r="W27" s="326">
        <f>F.w2T</f>
        <v>4.1425497800125563E-22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0.48825424253385574</v>
      </c>
      <c r="AG27" s="326">
        <f>KDEG.sd2C*M.sd2C*Molweight</f>
        <v>2.1688100736753676E-12</v>
      </c>
      <c r="AH27" s="325"/>
      <c r="AI27" s="325"/>
      <c r="AJ27" s="325"/>
      <c r="AK27" s="325"/>
      <c r="AL27" s="325"/>
      <c r="AM27" s="325">
        <f>k.w2C.sd2C*M.w2C*Molweight</f>
        <v>5.5421287136984949</v>
      </c>
      <c r="AN27" s="326">
        <f>k.sd2C.w2C*M.sd2C*Molweight</f>
        <v>5.0538744711624712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6.3412489986257763E-14</v>
      </c>
      <c r="BB27" s="264">
        <f>IF(ISERROR(output!D15),0,output!D15)</f>
        <v>1.9709768730490039E-3</v>
      </c>
      <c r="BC27" s="86"/>
      <c r="BD27" s="295">
        <f>output!AG18</f>
        <v>1.2512745454412733E-12</v>
      </c>
      <c r="BE27" s="75"/>
      <c r="BF27" s="295">
        <f>output!AG19</f>
        <v>2.9928319793630438E-11</v>
      </c>
      <c r="BG27" s="75"/>
      <c r="BH27" s="256">
        <f>output!AG20</f>
        <v>4.6343501683010112E-13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3">
      <c r="A28" s="29"/>
      <c r="B28" s="121" t="s">
        <v>715</v>
      </c>
      <c r="C28" s="318">
        <f>FRw.w2R*C27</f>
        <v>300364.64588933066</v>
      </c>
      <c r="D28" s="122">
        <f>C28/$C$51</f>
        <v>3.7820871790857637E-5</v>
      </c>
      <c r="E28" s="318">
        <f>FRw.w2C*E27</f>
        <v>1476078040.2548621</v>
      </c>
      <c r="F28" s="122">
        <f>E28/$E$51</f>
        <v>0.4727881833428566</v>
      </c>
      <c r="G28" s="318">
        <f>FRw.w2M*G27</f>
        <v>7704335672.2460928</v>
      </c>
      <c r="H28" s="122">
        <f>G28/$G$51</f>
        <v>3.0758466512856419E-2</v>
      </c>
      <c r="I28" s="318">
        <f>FRw.w2A*I27</f>
        <v>6171768988.5238943</v>
      </c>
      <c r="J28" s="122">
        <f>I28/$I$51</f>
        <v>3.7234712416137732E-2</v>
      </c>
      <c r="K28" s="318">
        <f>FRw.w2T*K27</f>
        <v>17726779408.102154</v>
      </c>
      <c r="L28" s="123">
        <f>K28/$K$51</f>
        <v>2.8713756838169811E-2</v>
      </c>
      <c r="M28" s="320">
        <f>M27*FRw.w2R</f>
        <v>3.0036464588933027E-5</v>
      </c>
      <c r="N28" s="320">
        <f>N27*FRw.w2C</f>
        <v>1.9874967216855426E-6</v>
      </c>
      <c r="O28" s="320">
        <f>O27*FRw.w2M</f>
        <v>1.9863912531035609E-6</v>
      </c>
      <c r="P28" s="320">
        <f>P27*FRw.w2A</f>
        <v>2.4203015641270169E-6</v>
      </c>
      <c r="Q28" s="320">
        <f>Q27*FRw.w2T</f>
        <v>1.9861937712159279E-6</v>
      </c>
      <c r="R28" s="120" t="s">
        <v>1489</v>
      </c>
      <c r="S28" s="325">
        <f>S27*FRw.w2R</f>
        <v>2.2323938313058665E-21</v>
      </c>
      <c r="T28" s="325">
        <f>T27*FRw.w2C</f>
        <v>1.4771630023548813E-22</v>
      </c>
      <c r="U28" s="325">
        <f>U27*FRw.w2M</f>
        <v>1.4763413872690537E-22</v>
      </c>
      <c r="V28" s="325">
        <f>V27*FRw.w2A</f>
        <v>2.6077684631686313E-23</v>
      </c>
      <c r="W28" s="326">
        <f>W27*FRw.w2T</f>
        <v>4.041506302676567E-22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1.0732854473575585E-4</v>
      </c>
      <c r="AG28" s="326">
        <f>KDEG.s1C*M.s1C*Molweight</f>
        <v>6.8814074371359341E-13</v>
      </c>
      <c r="AH28" s="325"/>
      <c r="AI28" s="325"/>
      <c r="AJ28" s="325">
        <f>k.aC.s1C*M.aC*Molweight</f>
        <v>2.0132863509742662E-2</v>
      </c>
      <c r="AK28" s="325">
        <f>k.s1C.aC*M.s1C*Molweight</f>
        <v>1.1486460396876223E-17</v>
      </c>
      <c r="AL28" s="325">
        <f>(k.s1C.w1C+k.s1C.w0C)*M.s1C*Molweight</f>
        <v>2.0025534964318744E-2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3">
      <c r="A29" s="29"/>
      <c r="B29" s="121" t="s">
        <v>492</v>
      </c>
      <c r="C29" s="318">
        <f>(1-FRw.w2R)*C27</f>
        <v>7509.5486723232798</v>
      </c>
      <c r="D29" s="122">
        <f>C29/$C$51</f>
        <v>9.4557625682681136E-7</v>
      </c>
      <c r="E29" s="318">
        <f>(1-FRw.w2C)*E27</f>
        <v>36904076.558749184</v>
      </c>
      <c r="F29" s="122">
        <f>E29/$E$51</f>
        <v>1.1820385398555322E-2</v>
      </c>
      <c r="G29" s="318">
        <f>(1-FRw.w2M)*G27</f>
        <v>192619486.04951862</v>
      </c>
      <c r="H29" s="122">
        <f>G29/$G$51</f>
        <v>7.6900595501318205E-4</v>
      </c>
      <c r="I29" s="318">
        <f>(1-FRw.w2A)*I27</f>
        <v>154303112.06043944</v>
      </c>
      <c r="J29" s="122">
        <f>I29/$I$51</f>
        <v>9.3092142838931418E-4</v>
      </c>
      <c r="K29" s="318">
        <f>(1-FRw.w2T)*K27</f>
        <v>443195011.76489747</v>
      </c>
      <c r="L29" s="123">
        <f>K29/$K$51</f>
        <v>7.1788526876408578E-4</v>
      </c>
      <c r="M29" s="320">
        <f>M28*Kp.susp2R</f>
        <v>0.15018232294466513</v>
      </c>
      <c r="N29" s="320">
        <f>N28*Kp.susp2C</f>
        <v>9.9374836084277132E-3</v>
      </c>
      <c r="O29" s="320">
        <f>O28*Kp.susp2M</f>
        <v>9.9319562655178044E-3</v>
      </c>
      <c r="P29" s="320">
        <f>P28*Kp.susp2A</f>
        <v>1.2101507820635085E-2</v>
      </c>
      <c r="Q29" s="320">
        <f>Q28*Kp.susp2T</f>
        <v>9.9309688560796396E-3</v>
      </c>
      <c r="R29" s="120" t="s">
        <v>1494</v>
      </c>
      <c r="S29" s="325">
        <f>S27*(1-FRw.w2R)</f>
        <v>5.5813060429763233E-23</v>
      </c>
      <c r="T29" s="325">
        <f>T27*(1-FRw.w2C)</f>
        <v>3.6931202173595091E-24</v>
      </c>
      <c r="U29" s="325">
        <f>U27*(1-FRw.w2M)</f>
        <v>3.6910660613323673E-24</v>
      </c>
      <c r="V29" s="325">
        <f>V27*(1-FRw.w2A)</f>
        <v>6.5197966765802155E-25</v>
      </c>
      <c r="W29" s="326">
        <f>W27*(1-FRw.w2T)</f>
        <v>1.0104347733598912E-23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2.3850787718080596E-4</v>
      </c>
      <c r="AG29" s="326">
        <f>KDEG.s2C*M.s2C*Molweight</f>
        <v>3.360482198901277E-12</v>
      </c>
      <c r="AH29" s="325"/>
      <c r="AI29" s="325"/>
      <c r="AJ29" s="325">
        <f>k.aC.s2C*M.aC*Molweight</f>
        <v>4.4739696688317024E-2</v>
      </c>
      <c r="AK29" s="325">
        <f>k.s2C.aC*M.s2C*Molweight</f>
        <v>2.552546754756902E-17</v>
      </c>
      <c r="AL29" s="325">
        <f>(k.s2C.w1C+k.s2C.w0C)*M.s2C*Molweight</f>
        <v>4.4501188807775691E-2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3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3.9751312865094766E-5</v>
      </c>
      <c r="AG30" s="326">
        <f>KDEG.s3C*M.s3C*Molweight</f>
        <v>2.5486694211614568E-13</v>
      </c>
      <c r="AH30" s="325"/>
      <c r="AI30" s="325"/>
      <c r="AJ30" s="325">
        <f>k.aC.s3C*M.aC*Molweight</f>
        <v>7.4566161147195031E-3</v>
      </c>
      <c r="AK30" s="325">
        <f>k.s3C.aC*M.s3C*Molweight</f>
        <v>4.2542445914356379E-18</v>
      </c>
      <c r="AL30" s="325">
        <f>(k.s3C.w1C+k.s3C.w0C)*M.s3C*Molweight</f>
        <v>7.4168648015995346E-3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6.9441881980954461E-4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3">
      <c r="A31" s="29"/>
      <c r="B31" s="66" t="s">
        <v>810</v>
      </c>
      <c r="C31" s="318"/>
      <c r="D31" s="122"/>
      <c r="E31" s="318"/>
      <c r="F31" s="122"/>
      <c r="G31" s="318">
        <f>M.w3M*Molweight</f>
        <v>236906223118.89661</v>
      </c>
      <c r="H31" s="122">
        <f>G31/$G$51</f>
        <v>0.94581446609860464</v>
      </c>
      <c r="I31" s="318">
        <f>M.w3A*Molweight</f>
        <v>155754709968.01038</v>
      </c>
      <c r="J31" s="122">
        <f>I31/$I$51</f>
        <v>0.93967901972702861</v>
      </c>
      <c r="K31" s="318">
        <f>M.w3T*Molweight</f>
        <v>585413860948.9491</v>
      </c>
      <c r="L31" s="123">
        <f>K31/$K$51</f>
        <v>0.9482507152596148</v>
      </c>
      <c r="M31" s="320"/>
      <c r="N31" s="320"/>
      <c r="O31" s="320">
        <f>C.w3M*Molweight</f>
        <v>2.0360329967813357E-6</v>
      </c>
      <c r="P31" s="320">
        <f>C.w3A*Molweight</f>
        <v>2.0360092806275865E-6</v>
      </c>
      <c r="Q31" s="320">
        <f>C.w3T*Molweight</f>
        <v>2.1864196487355711E-6</v>
      </c>
      <c r="R31" s="120" t="s">
        <v>1489</v>
      </c>
      <c r="S31" s="325"/>
      <c r="T31" s="325"/>
      <c r="U31" s="325">
        <f>F.w3M</f>
        <v>1.5132365158663002E-22</v>
      </c>
      <c r="V31" s="325">
        <f>F.w3A</f>
        <v>2.1937104332097323E-23</v>
      </c>
      <c r="W31" s="326">
        <f>F.w3T</f>
        <v>4.4489258393208655E-22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2.0834866393181215E-14</v>
      </c>
      <c r="AY31" s="75"/>
      <c r="AZ31" s="75"/>
      <c r="BA31" s="87"/>
      <c r="BB31" s="2"/>
      <c r="BC31" s="86"/>
      <c r="BD31" s="277">
        <f>IF(ISERROR(output!D39),0,output!D39)</f>
        <v>3.8794872276644132E-2</v>
      </c>
      <c r="BE31" s="75"/>
      <c r="BF31" s="277">
        <f>IF(ISERROR(output!D43),0,output!D43)</f>
        <v>0.92790614823782969</v>
      </c>
      <c r="BG31" s="75"/>
      <c r="BH31" s="273">
        <f>IF(ISERROR(output!D47),0,output!D47)</f>
        <v>1.4368471213571897E-2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3">
      <c r="A32" s="29"/>
      <c r="B32" s="121" t="s">
        <v>715</v>
      </c>
      <c r="C32" s="318"/>
      <c r="D32" s="122"/>
      <c r="E32" s="318"/>
      <c r="F32" s="122"/>
      <c r="G32" s="318">
        <f>FRw.w3M*G31</f>
        <v>231127697848.79196</v>
      </c>
      <c r="H32" s="122">
        <f>G32/$G$51</f>
        <v>0.92274452424047793</v>
      </c>
      <c r="I32" s="318">
        <f>FRw.w3A*I31</f>
        <v>151955601123.84857</v>
      </c>
      <c r="J32" s="122">
        <f>I32/$I$51</f>
        <v>0.91675873131166408</v>
      </c>
      <c r="K32" s="318">
        <f>FRw.w3T*K31</f>
        <v>571134671721.97266</v>
      </c>
      <c r="L32" s="123">
        <f>K32/$K$51</f>
        <v>0.92512134935109469</v>
      </c>
      <c r="M32" s="320"/>
      <c r="N32" s="320"/>
      <c r="O32" s="320">
        <f>O31*FRw.w3M</f>
        <v>1.9863708647876008E-6</v>
      </c>
      <c r="P32" s="320">
        <f>P31*FRw.w3A</f>
        <v>1.9863477271091317E-6</v>
      </c>
      <c r="Q32" s="320">
        <f>Q31*FRw.w3T</f>
        <v>2.1330893434994313E-6</v>
      </c>
      <c r="R32" s="120" t="s">
        <v>1489</v>
      </c>
      <c r="S32" s="325"/>
      <c r="T32" s="325"/>
      <c r="U32" s="325">
        <f>U31*FRw.w3M</f>
        <v>1.4763262341039253E-22</v>
      </c>
      <c r="V32" s="325">
        <f>V31*FRw.w3A</f>
        <v>2.1402022939691994E-23</v>
      </c>
      <c r="W32" s="326">
        <f>W31*FRw.w3T</f>
        <v>4.3404093552501419E-22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2.7476563352276752E-2</v>
      </c>
      <c r="AE32" s="325">
        <f>(k.aM.aA+k.aM.aC+k.aM.aT)*M.aM*Molweight</f>
        <v>3.5266150909565547E-3</v>
      </c>
      <c r="AF32" s="325">
        <f>kesc.aM*M.aM*Molweight</f>
        <v>1.109327480183449E-6</v>
      </c>
      <c r="AG32" s="326">
        <f>KDEG.aM*M.aM*Molweight</f>
        <v>2.9860156520147679E-27</v>
      </c>
      <c r="AH32" s="325">
        <f>AH33</f>
        <v>1.1974419467227354E-2</v>
      </c>
      <c r="AI32" s="325">
        <f>AI33</f>
        <v>1.3957952007432669E-15</v>
      </c>
      <c r="AJ32" s="325">
        <f>AJ36</f>
        <v>1.1974419466614062E-2</v>
      </c>
      <c r="AK32" s="325">
        <f>AK36</f>
        <v>6.8317999032917614E-18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3.391384919300616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3">
      <c r="A33" s="29"/>
      <c r="B33" s="121" t="s">
        <v>492</v>
      </c>
      <c r="C33" s="318"/>
      <c r="D33" s="122"/>
      <c r="E33" s="318"/>
      <c r="F33" s="122"/>
      <c r="G33" s="318">
        <f>(1-FRw.w3M)*G31</f>
        <v>5778525270.1046495</v>
      </c>
      <c r="H33" s="122">
        <f>G33/$G$51</f>
        <v>2.306994185812665E-2</v>
      </c>
      <c r="I33" s="318">
        <f>(1-FRw.w3A)*I31</f>
        <v>3799108844.1617985</v>
      </c>
      <c r="J33" s="122">
        <f>I33/$I$51</f>
        <v>2.2920288415364483E-2</v>
      </c>
      <c r="K33" s="318">
        <f>(1-FRw.w3T)*K31</f>
        <v>14279189226.976467</v>
      </c>
      <c r="L33" s="123">
        <f>K33/$K$51</f>
        <v>2.3129365908520223E-2</v>
      </c>
      <c r="M33" s="320"/>
      <c r="N33" s="320"/>
      <c r="O33" s="320">
        <f>O32*Kp.susp3M</f>
        <v>9.9318543239380035E-3</v>
      </c>
      <c r="P33" s="320">
        <f>P32*Kp.susp3A</f>
        <v>9.9317386355456585E-3</v>
      </c>
      <c r="Q33" s="320">
        <f>Q32*Kp.susp3T</f>
        <v>1.0665446717497157E-2</v>
      </c>
      <c r="R33" s="120" t="s">
        <v>1494</v>
      </c>
      <c r="S33" s="325"/>
      <c r="T33" s="325"/>
      <c r="U33" s="325">
        <f>U31*(1-FRw.w3M)</f>
        <v>3.6910281762374911E-24</v>
      </c>
      <c r="V33" s="325">
        <f>V31*(1-FRw.w3A)</f>
        <v>5.3508139240532825E-25</v>
      </c>
      <c r="W33" s="326">
        <f>W31*(1-FRw.w3T)</f>
        <v>1.0851648407072412E-23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2320.5312186148458</v>
      </c>
      <c r="AE33" s="325">
        <f>(k.w2M.w2C+k.w2M.w2A+k.w2M.w2T+k.w2M.w3M)*M.w2M*Molweight</f>
        <v>2320.5551036179691</v>
      </c>
      <c r="AF33" s="330"/>
      <c r="AG33" s="326">
        <f>KDEG.w2M*M.w2M*Molweight</f>
        <v>3.1289325560573587E-11</v>
      </c>
      <c r="AH33" s="325">
        <f>k.aM.w2M*M.aM*Molweight</f>
        <v>1.1974419467227354E-2</v>
      </c>
      <c r="AI33" s="325">
        <f>k.w2M.aM*M.w2M*Molweight</f>
        <v>1.3957952007432669E-15</v>
      </c>
      <c r="AJ33" s="325"/>
      <c r="AK33" s="325"/>
      <c r="AL33" s="325">
        <f>AL36</f>
        <v>1.1910583687713283E-2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1.2198595170215045E-15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3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2272.6266392603166</v>
      </c>
      <c r="AE34" s="325">
        <f>(k.w3M.w2M+k.w3M.w3A+k.w3M.w3T)*M.w3M*Molweight</f>
        <v>2272.6100050872669</v>
      </c>
      <c r="AF34" s="330"/>
      <c r="AG34" s="326">
        <f>KDEG.w3M*M.w3M*Molweight</f>
        <v>9.3867013220990605E-10</v>
      </c>
      <c r="AH34" s="325"/>
      <c r="AI34" s="325"/>
      <c r="AJ34" s="325"/>
      <c r="AK34" s="325"/>
      <c r="AL34" s="325"/>
      <c r="AM34" s="325">
        <f>k.w3M.sdM*M.w3M*Molweight</f>
        <v>57.85328489170535</v>
      </c>
      <c r="AN34" s="326">
        <f>k.sdM.w3M*M.sdM*Molweight</f>
        <v>57.836650719594516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3.758149076009897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3">
      <c r="A35" s="29"/>
      <c r="B35" s="66" t="s">
        <v>449</v>
      </c>
      <c r="C35" s="318">
        <f>M.sd2R*Molweight</f>
        <v>2173351.6726682289</v>
      </c>
      <c r="D35" s="122">
        <f>C35/$C$51</f>
        <v>2.736608855048705E-4</v>
      </c>
      <c r="E35" s="318">
        <f>M.sd2C*Molweight</f>
        <v>534023681.16232097</v>
      </c>
      <c r="F35" s="122">
        <f>E35/$E$51</f>
        <v>0.17104792510510147</v>
      </c>
      <c r="G35" s="318">
        <f>M.sdM*Molweight</f>
        <v>5574577163.6154289</v>
      </c>
      <c r="H35" s="122">
        <f>G35/$G$51</f>
        <v>2.2255707994147E-2</v>
      </c>
      <c r="I35" s="318">
        <f>M.sdA*Molweight</f>
        <v>3665022547.2452946</v>
      </c>
      <c r="J35" s="122">
        <f>I35/$I$51</f>
        <v>2.211133644164115E-2</v>
      </c>
      <c r="K35" s="318">
        <f>M.sdT*Molweight</f>
        <v>13775217457.543331</v>
      </c>
      <c r="L35" s="123">
        <f>K35/$K$51</f>
        <v>2.2313034723500162E-2</v>
      </c>
      <c r="M35" s="320">
        <f>C.sd2R*(Molweight*1000)/(FRACw.sdR*1000+FRACs.sdR*RHOsolid)</f>
        <v>5.5726965965851964E-2</v>
      </c>
      <c r="N35" s="320">
        <f>C.sd2C*(Molweight*1000)/(FRACw.sdC*1000+FRACs.sdC*RHOsolid)</f>
        <v>3.6874233929455606E-3</v>
      </c>
      <c r="O35" s="320">
        <f>C.sdM*(Molweight*1000)/(FRACw.sdM*1000+FRACs.sdM*RHOsolid)</f>
        <v>3.6853345789026075E-3</v>
      </c>
      <c r="P35" s="320">
        <f>C.sdA*(Molweight*1000)/(FRACw.sdA*1000+FRACs.sdA*RHOsolid)</f>
        <v>3.6852916513275963E-3</v>
      </c>
      <c r="Q35" s="320">
        <f>C.sdT*(Molweight*1000)/(FRACw.sdT*1000+FRACs.sdT*RHOsolid)</f>
        <v>3.9575429024041753E-3</v>
      </c>
      <c r="R35" s="120" t="s">
        <v>1495</v>
      </c>
      <c r="S35" s="325">
        <f>F.sd2R</f>
        <v>4.3046998883980989E-21</v>
      </c>
      <c r="T35" s="325">
        <f>F.sd2C</f>
        <v>2.8483967847479812E-22</v>
      </c>
      <c r="U35" s="325">
        <f>F.sdM</f>
        <v>2.846783253951582E-22</v>
      </c>
      <c r="V35" s="325">
        <f>F.sdA</f>
        <v>4.1269279850196377E-23</v>
      </c>
      <c r="W35" s="326">
        <f>F.sdT</f>
        <v>8.3695624871921079E-22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1.6634172088210671E-2</v>
      </c>
      <c r="AG35" s="326">
        <f>KDEG.sdM*M.sdM*Molweight</f>
        <v>2.2639818299096891E-11</v>
      </c>
      <c r="AH35" s="325"/>
      <c r="AI35" s="325"/>
      <c r="AJ35" s="325"/>
      <c r="AK35" s="325"/>
      <c r="AL35" s="325"/>
      <c r="AM35" s="325">
        <f>k.w3M.sdM*M.w3M*Molweight</f>
        <v>57.85328489170535</v>
      </c>
      <c r="AN35" s="326">
        <f>k.sdM.w3M*M.sdM*Molweight</f>
        <v>57.836650719594516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5.144510798020153E-13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3">
      <c r="A36" s="29"/>
      <c r="B36" s="121" t="s">
        <v>717</v>
      </c>
      <c r="C36" s="318">
        <f>C35*FRACw.sdR</f>
        <v>1738681.3381345831</v>
      </c>
      <c r="D36" s="122">
        <f>C36/$C$51</f>
        <v>2.189287084038964E-4</v>
      </c>
      <c r="E36" s="318">
        <f>E35*FRACw.sdC</f>
        <v>427218944.92985678</v>
      </c>
      <c r="F36" s="122">
        <f>E36/$E$51</f>
        <v>0.13683834008408119</v>
      </c>
      <c r="G36" s="318">
        <f>G35*FRACw.sdM</f>
        <v>4459661730.8923435</v>
      </c>
      <c r="H36" s="122">
        <f>G36/$G$51</f>
        <v>1.7804566395317602E-2</v>
      </c>
      <c r="I36" s="318">
        <f>I35*FRACw.sdA</f>
        <v>2932018037.796236</v>
      </c>
      <c r="J36" s="122">
        <f>I36/$I$51</f>
        <v>1.768906915331292E-2</v>
      </c>
      <c r="K36" s="318">
        <f>K35*FRACw.sdT</f>
        <v>11020173966.034666</v>
      </c>
      <c r="L36" s="123">
        <f>K36/$K$51</f>
        <v>1.7850427778800131E-2</v>
      </c>
      <c r="M36" s="320">
        <f>M37/Kp.sd2R</f>
        <v>5.7918976459551952E-5</v>
      </c>
      <c r="N36" s="320">
        <f>N37/Kp.sd2C</f>
        <v>3.832467549431748E-6</v>
      </c>
      <c r="O36" s="320">
        <f>O37/Kp.sdM</f>
        <v>3.8302965722524711E-6</v>
      </c>
      <c r="P36" s="320">
        <f>P37/Kp.sdA</f>
        <v>3.8302519561287789E-6</v>
      </c>
      <c r="Q36" s="320">
        <f>Q37/Kp.sdT</f>
        <v>4.1132121627162042E-6</v>
      </c>
      <c r="R36" s="120" t="s">
        <v>1489</v>
      </c>
      <c r="S36" s="325">
        <f>S35*FRACw.sdR</f>
        <v>3.4437599107184793E-21</v>
      </c>
      <c r="T36" s="325">
        <f>T35*FRACw.sdC</f>
        <v>2.2787174277983852E-22</v>
      </c>
      <c r="U36" s="325">
        <f>U35*FRACw.sdM</f>
        <v>2.2774266031612657E-22</v>
      </c>
      <c r="V36" s="325">
        <f>V35*FRACw.sdA</f>
        <v>3.3015423880157105E-23</v>
      </c>
      <c r="W36" s="326">
        <f>W35*FRACw.sdT</f>
        <v>6.6956499897536863E-22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6.383577849148299E-5</v>
      </c>
      <c r="AG36" s="326">
        <f>KDEG.sM*M.sM*Molweight</f>
        <v>4.0928534151670989E-13</v>
      </c>
      <c r="AH36" s="325"/>
      <c r="AI36" s="325"/>
      <c r="AJ36" s="325">
        <f>k.aM.sM*M.aM*Molweight</f>
        <v>1.1974419466614062E-2</v>
      </c>
      <c r="AK36" s="325">
        <f>k.sM.aM*M.sM*Molweight</f>
        <v>6.8317999032917614E-18</v>
      </c>
      <c r="AL36" s="325">
        <f>k.sM.w2M*M.sM*Molweight</f>
        <v>1.1910583687713283E-2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3">
      <c r="A37" s="29"/>
      <c r="B37" s="121" t="s">
        <v>718</v>
      </c>
      <c r="C37" s="318">
        <f>C35*FRACs.sdR</f>
        <v>434670.33453364566</v>
      </c>
      <c r="D37" s="122">
        <f>C37/$C$51</f>
        <v>5.4732177100974081E-5</v>
      </c>
      <c r="E37" s="318">
        <f>E35*FRACs.sdC</f>
        <v>106804736.23246416</v>
      </c>
      <c r="F37" s="122">
        <f>E37/$E$51</f>
        <v>3.4209585021020283E-2</v>
      </c>
      <c r="G37" s="318">
        <f>G35*FRACs.sdM</f>
        <v>1114915432.7230856</v>
      </c>
      <c r="H37" s="122">
        <f>G37/$G$51</f>
        <v>4.4511415988293997E-3</v>
      </c>
      <c r="I37" s="318">
        <f>I35*FRACs.sdA</f>
        <v>733004509.44905877</v>
      </c>
      <c r="J37" s="122">
        <f>I37/$I$51</f>
        <v>4.422267288328229E-3</v>
      </c>
      <c r="K37" s="318">
        <f>K35*FRACs.sdT</f>
        <v>2755043491.5086656</v>
      </c>
      <c r="L37" s="123">
        <f>K37/$K$51</f>
        <v>4.4626069447000309E-3</v>
      </c>
      <c r="M37" s="320">
        <f>C.sd2R*FRACs.sdR/(FRACw.sdR/(Kp.sd2R*RHOsolid/1000)+FRACs.sdR)*(Molweight*1000)/(FRACs.sdR*RHOsolid)</f>
        <v>0.14479744114887988</v>
      </c>
      <c r="N37" s="320">
        <f>C.sd2C*FRACs.sdC/(FRACw.sdC/(Kp.sd2C*RHOsolid/1000)+FRACs.sdC)*(Molweight*1000)/(FRACs.sdC*RHOsolid)</f>
        <v>9.5811688735793696E-3</v>
      </c>
      <c r="O37" s="320">
        <f>C.sdM*FRACs.sdM/(FRACw.sdM/(Kp.sdM*RHOsolid/1000)+FRACs.sdM)*(Molweight*1000)/(FRACs.sdM*RHOsolid)</f>
        <v>9.5757414306311787E-3</v>
      </c>
      <c r="P37" s="320">
        <f>C.sdA*FRACs.sdA/(FRACw.sdA/(Kp.sdA*RHOsolid/1000)+FRACs.sdA)*(Molweight*1000)/(FRACs.sdA*RHOsolid)</f>
        <v>9.5756298903219468E-3</v>
      </c>
      <c r="Q37" s="320">
        <f>C.sdT*FRACs.sdT/(FRACw.sdT/(Kp.sdT*RHOsolid/1000)+FRACs.sdT)*(Molweight*1000)/(FRACs.sdT*RHOsolid)</f>
        <v>1.0283030406790511E-2</v>
      </c>
      <c r="R37" s="120" t="s">
        <v>1494</v>
      </c>
      <c r="S37" s="325">
        <f>S35*(1-FRACw.sdR)</f>
        <v>8.6093997767961962E-22</v>
      </c>
      <c r="T37" s="325">
        <f>T35*(1-FRACw.sdC)</f>
        <v>5.6967935694959617E-23</v>
      </c>
      <c r="U37" s="325">
        <f>U35*(1-FRACw.sdM)</f>
        <v>5.693566507903163E-23</v>
      </c>
      <c r="V37" s="325">
        <f>V35*(1-FRACw.sdA)</f>
        <v>8.2538559700392734E-24</v>
      </c>
      <c r="W37" s="326">
        <f>W35*(1-FRACw.sdT)</f>
        <v>1.6739124974384211E-22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3.8766448047684452E-5</v>
      </c>
      <c r="AW37" s="75"/>
      <c r="AX37" s="75"/>
      <c r="AY37" s="300">
        <f>IF(ISERROR(output!D23),0,output!D23)</f>
        <v>1.5950187755527666E-2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3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1.1486858875369734E-3</v>
      </c>
      <c r="AE38" s="325">
        <f>k.aA.aM*M.aA*Molweight</f>
        <v>9.1311400710015862E-5</v>
      </c>
      <c r="AF38" s="325">
        <f>kesc.aA*M.aA*Molweight</f>
        <v>4.8313891869407481E-8</v>
      </c>
      <c r="AG38" s="326">
        <f>KDEG.aA*M.aA*Molweight</f>
        <v>2.6661007520457784E-29</v>
      </c>
      <c r="AH38" s="325">
        <f>AH39</f>
        <v>6.3439570376430101E-4</v>
      </c>
      <c r="AI38" s="325">
        <f>AI39</f>
        <v>1.7565593354291982E-16</v>
      </c>
      <c r="AJ38" s="325">
        <f>AJ42</f>
        <v>4.2293046917096246E-4</v>
      </c>
      <c r="AK38" s="325">
        <f>AK42</f>
        <v>7.7685944253960903E-20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3">
      <c r="A39" s="29"/>
      <c r="B39" s="66" t="s">
        <v>450</v>
      </c>
      <c r="C39" s="318">
        <f>M.s1R*Molweight</f>
        <v>308099933.23614466</v>
      </c>
      <c r="D39" s="122">
        <f>C39/$C$51</f>
        <v>3.8794872276644132E-2</v>
      </c>
      <c r="E39" s="318">
        <f>M.s1C*Molweight</f>
        <v>169440126.44360128</v>
      </c>
      <c r="F39" s="122">
        <f>E39/$E$51</f>
        <v>5.4271716929561772E-2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5.873401449099503E-2</v>
      </c>
      <c r="N39" s="320">
        <f>C.s1C*(Molweight*1000)/(FRACw.s1C*1000+(1-FRACa.s1C-FRACw.s1C)*RHOsolid)</f>
        <v>2.1180008392447211E-3</v>
      </c>
      <c r="O39" s="320"/>
      <c r="P39" s="320"/>
      <c r="Q39" s="320"/>
      <c r="R39" s="120" t="s">
        <v>1495</v>
      </c>
      <c r="S39" s="325">
        <f>F.s1R</f>
        <v>4.9466530063892188E-21</v>
      </c>
      <c r="T39" s="325">
        <f>F.s1C</f>
        <v>1.7838071022015879E-22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1703.364961504579</v>
      </c>
      <c r="AE39" s="325">
        <f>(k.w2A.w2M+k.w2A.w3A)*M.w2A*Molweight</f>
        <v>1703.3660171805111</v>
      </c>
      <c r="AF39" s="330"/>
      <c r="AG39" s="326">
        <f>KDEG.w2A*M.w2A*Molweight</f>
        <v>5.4551246296276059E-12</v>
      </c>
      <c r="AH39" s="325">
        <f>k.aA.w2A*M.aA*Molweight</f>
        <v>6.3439570376430101E-4</v>
      </c>
      <c r="AI39" s="325">
        <f>k.w2A.aA*M.w2A*Molweight</f>
        <v>1.7565593354291982E-16</v>
      </c>
      <c r="AJ39" s="325"/>
      <c r="AK39" s="325"/>
      <c r="AL39" s="325">
        <f>AL42</f>
        <v>4.2128023343080036E-4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3">
      <c r="A40" s="29"/>
      <c r="B40" s="121" t="s">
        <v>435</v>
      </c>
      <c r="C40" s="318">
        <f>C39*FRw.s1R</f>
        <v>41074.514496219788</v>
      </c>
      <c r="D40" s="122">
        <f>C40/$C$51</f>
        <v>5.171960042213589E-6</v>
      </c>
      <c r="E40" s="318">
        <f>E39*FRw.s1C</f>
        <v>22589.004991814592</v>
      </c>
      <c r="F40" s="122">
        <f>E40/$E$51</f>
        <v>7.235264222045296E-6</v>
      </c>
      <c r="G40" s="318"/>
      <c r="H40" s="122"/>
      <c r="I40" s="318"/>
      <c r="J40" s="122"/>
      <c r="K40" s="318"/>
      <c r="L40" s="123"/>
      <c r="M40" s="320">
        <f>M41/Kp.s1R</f>
        <v>6.6556342244161821E-5</v>
      </c>
      <c r="N40" s="320">
        <f>N41/Kp.s1C</f>
        <v>2.4000809403519706E-6</v>
      </c>
      <c r="O40" s="320"/>
      <c r="P40" s="320"/>
      <c r="Q40" s="320"/>
      <c r="R40" s="120" t="s">
        <v>1489</v>
      </c>
      <c r="S40" s="325">
        <f>S39*FRACw.s1R</f>
        <v>9.8933060127784377E-22</v>
      </c>
      <c r="T40" s="325">
        <f>T39*FRACw.s1C</f>
        <v>3.5676142044031763E-23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1703.3660171805111</v>
      </c>
      <c r="AE40" s="325">
        <f>(k.w3A.w2A+k.w3A.w3M)*M.w3A*Molweight</f>
        <v>1703.3582693735341</v>
      </c>
      <c r="AF40" s="330"/>
      <c r="AG40" s="326">
        <f>KDEG.w3A*M.w3A*Molweight</f>
        <v>1.3431104499243936E-10</v>
      </c>
      <c r="AH40" s="325"/>
      <c r="AI40" s="325"/>
      <c r="AJ40" s="325"/>
      <c r="AK40" s="325"/>
      <c r="AL40" s="325"/>
      <c r="AM40" s="325">
        <f>k.w3A.sdA*M.w3A*Molweight</f>
        <v>38.035816410284475</v>
      </c>
      <c r="AN40" s="326">
        <f>k.sdA.w3A*M.sdA*Molweight</f>
        <v>38.028068603441966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1.7962153085734119E-2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3">
      <c r="A41" s="29"/>
      <c r="B41" s="121" t="s">
        <v>718</v>
      </c>
      <c r="C41" s="318">
        <f>C39*FRs.s1R</f>
        <v>308058858.72164845</v>
      </c>
      <c r="D41" s="122">
        <f>C41/$C$51</f>
        <v>3.8789700316601922E-2</v>
      </c>
      <c r="E41" s="318">
        <f>E39*FRs.s1C</f>
        <v>169417537.43860948</v>
      </c>
      <c r="F41" s="122">
        <f>E41/$E$51</f>
        <v>5.4264481665339738E-2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6.655634224416182E-2</v>
      </c>
      <c r="N41" s="320">
        <f>C.s1C*FRs.s1C*(Molweight*1000)/(FRACs.s1C*RHOsolid)</f>
        <v>2.4000809403519705E-3</v>
      </c>
      <c r="O41" s="320"/>
      <c r="P41" s="320"/>
      <c r="Q41" s="320"/>
      <c r="R41" s="120" t="s">
        <v>1494</v>
      </c>
      <c r="S41" s="325">
        <f>S39*(1-FRACw.s1R)</f>
        <v>3.9573224051113751E-21</v>
      </c>
      <c r="T41" s="325">
        <f>T39*(1-FRACw.s1C)</f>
        <v>1.4270456817612705E-22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7.7478068392636042E-3</v>
      </c>
      <c r="AG41" s="326">
        <f>KDEG.sdA*M.sdA*Molweight</f>
        <v>3.2394528704484265E-12</v>
      </c>
      <c r="AH41" s="325"/>
      <c r="AI41" s="325"/>
      <c r="AJ41" s="325"/>
      <c r="AK41" s="325"/>
      <c r="AL41" s="325"/>
      <c r="AM41" s="325">
        <f>k.w3A.sdA*M.w3A*Molweight</f>
        <v>38.035816410284475</v>
      </c>
      <c r="AN41" s="326">
        <f>k.sdA.w3A*M.sdA*Molweight</f>
        <v>38.028068603441966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3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1.6502357337143315E-6</v>
      </c>
      <c r="AG42" s="326">
        <f>KDEG.sA*M.sA*Molweight</f>
        <v>6.4476292900899912E-15</v>
      </c>
      <c r="AH42" s="325"/>
      <c r="AI42" s="325"/>
      <c r="AJ42" s="325">
        <f>k.aA.sA*M.aA*Molweight</f>
        <v>4.2293046917096246E-4</v>
      </c>
      <c r="AK42" s="325">
        <f>k.sA.aA*M.sA*Molweight</f>
        <v>7.7685944253960903E-20</v>
      </c>
      <c r="AL42" s="325">
        <f>k.sA.w2A*M.sA*Molweight</f>
        <v>4.2128023343080036E-4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2.2555169620648473E-2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3">
      <c r="A43" s="29"/>
      <c r="B43" s="66" t="s">
        <v>451</v>
      </c>
      <c r="C43" s="318">
        <f>M.s2R*Molweight</f>
        <v>7369216742.9456377</v>
      </c>
      <c r="D43" s="122">
        <f>C43/$C$51</f>
        <v>0.92790614823782969</v>
      </c>
      <c r="E43" s="318">
        <f>M.s2C*Molweight</f>
        <v>827447777.06446946</v>
      </c>
      <c r="F43" s="122">
        <f>E43/$E$51</f>
        <v>0.26503173996264384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0.15804178800817092</v>
      </c>
      <c r="N43" s="320">
        <f>C.s2C*(Molweight*1000)/(FRACw.s2C*1000+(1-FRACa.s2C-FRACw.s2C)*RHOsolid)</f>
        <v>1.1635980292375996E-3</v>
      </c>
      <c r="O43" s="320"/>
      <c r="P43" s="320"/>
      <c r="Q43" s="320"/>
      <c r="R43" s="120" t="s">
        <v>1495</v>
      </c>
      <c r="S43" s="325">
        <f>F.s2R</f>
        <v>1.331047932890075E-20</v>
      </c>
      <c r="T43" s="325">
        <f>F.s2C</f>
        <v>9.7999698121081539E-23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2.736608855048705E-4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3">
      <c r="A44" s="29"/>
      <c r="B44" s="121" t="s">
        <v>435</v>
      </c>
      <c r="C44" s="318">
        <f>C43*FRw.s2R</f>
        <v>982431.24156054354</v>
      </c>
      <c r="D44" s="122">
        <f>C44/$C$51</f>
        <v>1.2370432585492996E-4</v>
      </c>
      <c r="E44" s="318">
        <f>E43*FRw.s2C</f>
        <v>110311.66205365543</v>
      </c>
      <c r="F44" s="122">
        <f>E44/$E$51</f>
        <v>3.5332854281115025E-5</v>
      </c>
      <c r="G44" s="318"/>
      <c r="H44" s="122"/>
      <c r="I44" s="318"/>
      <c r="J44" s="122"/>
      <c r="K44" s="318"/>
      <c r="L44" s="123"/>
      <c r="M44" s="320">
        <f>M45/Kp.s2R</f>
        <v>1.7909014772289733E-4</v>
      </c>
      <c r="N44" s="320">
        <f>N45/Kp.s2C</f>
        <v>1.3185686239860816E-6</v>
      </c>
      <c r="O44" s="320"/>
      <c r="P44" s="320"/>
      <c r="Q44" s="320"/>
      <c r="R44" s="120" t="s">
        <v>1489</v>
      </c>
      <c r="S44" s="325">
        <f>S43*FRACw.s2R</f>
        <v>2.6620958657801502E-21</v>
      </c>
      <c r="T44" s="325">
        <f>T43*FRACw.s2C</f>
        <v>1.959993962421631E-23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1.9895823191513869E-3</v>
      </c>
      <c r="AE44" s="325">
        <f>k.aT.aM*M.aT*Molweight</f>
        <v>9.3700442569656908E-5</v>
      </c>
      <c r="AF44" s="325">
        <f>kesc.aT*M.aT*Molweight</f>
        <v>8.5871547144291309E-8</v>
      </c>
      <c r="AG44" s="326">
        <f>KDEG.aT*M.aT*Molweight</f>
        <v>3.9811981636809635E-28</v>
      </c>
      <c r="AH44" s="325">
        <f>AH45</f>
        <v>1.3270572035609959E-3</v>
      </c>
      <c r="AI44" s="325">
        <f>AI45</f>
        <v>8.4090044986135958E-15</v>
      </c>
      <c r="AJ44" s="325">
        <f>AJ48</f>
        <v>5.6873880148199877E-4</v>
      </c>
      <c r="AK44" s="325">
        <f>AK48</f>
        <v>5.0490076575408049E-19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8.8265505212480077E-15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3">
      <c r="A45" s="29"/>
      <c r="B45" s="121" t="s">
        <v>718</v>
      </c>
      <c r="C45" s="318">
        <f>C43*FRs.s2R</f>
        <v>7368234311.7040777</v>
      </c>
      <c r="D45" s="122">
        <f>C45/$C$51</f>
        <v>0.92778244391197484</v>
      </c>
      <c r="E45" s="318">
        <f>E43*FRs.s2C</f>
        <v>827337465.40241587</v>
      </c>
      <c r="F45" s="122">
        <f>E45/$E$51</f>
        <v>0.26499640710836275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0.17909014772289733</v>
      </c>
      <c r="N45" s="320">
        <f>C.s2C*FRs.s2C*(Molweight*1000)/(FRACs.s2C*RHOsolid)</f>
        <v>1.3185686239860816E-3</v>
      </c>
      <c r="O45" s="320"/>
      <c r="P45" s="320"/>
      <c r="Q45" s="320"/>
      <c r="R45" s="120" t="s">
        <v>1494</v>
      </c>
      <c r="S45" s="325">
        <f>S43*(1-FRACw.s2R)</f>
        <v>1.0648383463120601E-20</v>
      </c>
      <c r="T45" s="325">
        <f>T43*(1-FRACw.s2C)</f>
        <v>7.8399758496865238E-23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4434.4013658635704</v>
      </c>
      <c r="AE45" s="325">
        <f>(k.w2T.w2M+k.w2T.w3T)*M.w2T*Molweight</f>
        <v>4434.4032583131939</v>
      </c>
      <c r="AF45" s="330"/>
      <c r="AG45" s="326">
        <f>KDEG.w2T*M.w2T*Molweight</f>
        <v>1.7726779408102152E-10</v>
      </c>
      <c r="AH45" s="325">
        <f>k.aT.w2T*M.aT*Molweight</f>
        <v>1.3270572035609959E-3</v>
      </c>
      <c r="AI45" s="325">
        <f>k.w2T.aT*M.w2T*Molweight</f>
        <v>8.4090044986135958E-15</v>
      </c>
      <c r="AJ45" s="325"/>
      <c r="AK45" s="325"/>
      <c r="AL45" s="325">
        <f>AL48</f>
        <v>5.653925983045724E-4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3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4434.4304864880914</v>
      </c>
      <c r="AE46" s="325">
        <f>(k.w3T.w2T+k.w3T.w3M)*M.w3T*Molweight</f>
        <v>4434.4013658635704</v>
      </c>
      <c r="AF46" s="330"/>
      <c r="AG46" s="326">
        <f>KDEG.w3T*M.w3T*Molweight</f>
        <v>5.711346717219726E-9</v>
      </c>
      <c r="AH46" s="325"/>
      <c r="AI46" s="325"/>
      <c r="AJ46" s="325"/>
      <c r="AK46" s="325"/>
      <c r="AL46" s="325"/>
      <c r="AM46" s="325">
        <f>k.w3T.sdT*M.w3T*Molweight</f>
        <v>142.96000514952817</v>
      </c>
      <c r="AN46" s="326">
        <f>k.sdT.w3T*M.sdT*Molweight</f>
        <v>142.93088453071641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3">
      <c r="A47" s="29"/>
      <c r="B47" s="66" t="s">
        <v>452</v>
      </c>
      <c r="C47" s="318">
        <f>M.s3R*Molweight</f>
        <v>114111086.38375725</v>
      </c>
      <c r="D47" s="122">
        <f>C47/$C$51</f>
        <v>1.4368471213571897E-2</v>
      </c>
      <c r="E47" s="318">
        <f>M.s3C*Molweight</f>
        <v>62755602.386518985</v>
      </c>
      <c r="F47" s="122">
        <f>E47/$E$51</f>
        <v>2.0100635899837693E-2</v>
      </c>
      <c r="G47" s="318">
        <f>M.sM*Molweight</f>
        <v>100777872.3344527</v>
      </c>
      <c r="H47" s="122">
        <f>G47/$G$51</f>
        <v>4.023413495082681E-4</v>
      </c>
      <c r="I47" s="318">
        <f>M.sA*Molweight</f>
        <v>7294659.8297594208</v>
      </c>
      <c r="J47" s="122">
        <f>I47/$I$51</f>
        <v>4.4009191115172717E-5</v>
      </c>
      <c r="K47" s="318">
        <f>M.sT*Molweight</f>
        <v>2844513.6182666193</v>
      </c>
      <c r="L47" s="123">
        <f>K47/$K$51</f>
        <v>4.6075302499922452E-6</v>
      </c>
      <c r="M47" s="320">
        <f>C.s3R*(Molweight*1000)/(FRACw.s3R*1000+(1-FRACa.s3R-FRACw.s3R)*RHOsolid)</f>
        <v>5.8734014490995023E-2</v>
      </c>
      <c r="N47" s="320">
        <f>C.s3C*(Molweight*1000)/(FRACw.s3C*1000+(1-FRACa.s3C-FRACw.s3C)*RHOsolid)</f>
        <v>2.118000839244722E-3</v>
      </c>
      <c r="O47" s="320">
        <f>C.sM*(Molweight*1000)/(FRACw.sM*1000+(1-FRACa.sM-FRACw.sM)*RHOsolid)</f>
        <v>3.0568621683056755E-5</v>
      </c>
      <c r="P47" s="320">
        <f>C.sA*(Molweight*1000)/(FRACw.sA*1000+(1-FRACa.sA-FRACw.sA)*RHOsolid)</f>
        <v>5.0482074946431967E-6</v>
      </c>
      <c r="Q47" s="320">
        <f>C.sT*(Molweight*1000)/(FRACw.sT*1000+(1-FRACa.sT-FRACw.sT)*RHOsolid)</f>
        <v>8.7489846005893666E-7</v>
      </c>
      <c r="R47" s="120" t="s">
        <v>1495</v>
      </c>
      <c r="S47" s="325">
        <f>F.s3R</f>
        <v>4.9466530063892188E-21</v>
      </c>
      <c r="T47" s="325">
        <f>F.s3C</f>
        <v>1.7838071022015882E-22</v>
      </c>
      <c r="U47" s="325">
        <f>F.sM</f>
        <v>2.5745279913201053E-24</v>
      </c>
      <c r="V47" s="325">
        <f>F.sA</f>
        <v>6.1636292142217774E-26</v>
      </c>
      <c r="W47" s="326">
        <f>F.sT</f>
        <v>2.0173398018704476E-25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2.9120618673988248E-2</v>
      </c>
      <c r="AG47" s="326">
        <f>KDEG.sdT*M.sdT*Molweight</f>
        <v>1.377521745754333E-10</v>
      </c>
      <c r="AH47" s="325"/>
      <c r="AI47" s="325"/>
      <c r="AJ47" s="325"/>
      <c r="AK47" s="325"/>
      <c r="AL47" s="325"/>
      <c r="AM47" s="325">
        <f>k.w3T.sdT*M.w3T*Molweight</f>
        <v>142.96000514952817</v>
      </c>
      <c r="AN47" s="326">
        <f>k.sdT.w3T*M.sdT*Molweight</f>
        <v>142.93088453071641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4.5930165349055228E-3</v>
      </c>
      <c r="AW47" s="75"/>
      <c r="AX47" s="290">
        <f>output!AF16</f>
        <v>0.36676415670876705</v>
      </c>
      <c r="AY47" s="75"/>
      <c r="AZ47" s="75"/>
      <c r="BA47" s="75"/>
      <c r="BB47" s="75"/>
      <c r="BC47" s="2"/>
      <c r="BD47" s="295">
        <f>output!AF18</f>
        <v>1.9515989607352962E-4</v>
      </c>
      <c r="BE47" s="75"/>
      <c r="BF47" s="295">
        <f>output!AF20</f>
        <v>7.2281442990196142E-5</v>
      </c>
      <c r="BG47" s="75"/>
      <c r="BH47" s="299">
        <f>output!AF19</f>
        <v>2.124141596078365E-3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3">
      <c r="A48" s="29"/>
      <c r="B48" s="121" t="s">
        <v>435</v>
      </c>
      <c r="C48" s="318">
        <f>C47*FRw.s3R</f>
        <v>15212.783146748065</v>
      </c>
      <c r="D48" s="122">
        <f>C48/$C$51</f>
        <v>1.9155407563754026E-6</v>
      </c>
      <c r="E48" s="318">
        <f>E47*FRw.s3C</f>
        <v>8366.2981451165142</v>
      </c>
      <c r="F48" s="122">
        <f>E48/$E$51</f>
        <v>2.6797274896464056E-6</v>
      </c>
      <c r="G48" s="318">
        <f>G47*FRw.sM</f>
        <v>13435.25827682345</v>
      </c>
      <c r="H48" s="122">
        <f>G48/$G$51</f>
        <v>5.3638361486237575E-8</v>
      </c>
      <c r="I48" s="318">
        <f>I47*FRw.sA</f>
        <v>972.49164508191177</v>
      </c>
      <c r="J48" s="122">
        <f>I48/$I$51</f>
        <v>5.8671098673740453E-9</v>
      </c>
      <c r="K48" s="318">
        <f>K47*FRw.sT</f>
        <v>379.21792004620971</v>
      </c>
      <c r="L48" s="123">
        <f>K48/$K$51</f>
        <v>6.1425546593684105E-10</v>
      </c>
      <c r="M48" s="320">
        <f>M49/Kp.s3R</f>
        <v>6.6556342244161807E-5</v>
      </c>
      <c r="N48" s="320">
        <f>N49/Kp.s3C</f>
        <v>2.4000809403519714E-6</v>
      </c>
      <c r="O48" s="320">
        <f>O49/Kp.sM</f>
        <v>3.4639819264895674E-8</v>
      </c>
      <c r="P48" s="320">
        <f>P49/Kp.sA</f>
        <v>5.7205390887171281E-9</v>
      </c>
      <c r="Q48" s="320">
        <f>Q49/Kp.sT</f>
        <v>9.9141939881361981E-10</v>
      </c>
      <c r="R48" s="120" t="s">
        <v>1489</v>
      </c>
      <c r="S48" s="325">
        <f>S47*FRACw.s3R</f>
        <v>9.8933060127784377E-22</v>
      </c>
      <c r="T48" s="325">
        <f>T47*FRACw.s3C</f>
        <v>3.5676142044031763E-23</v>
      </c>
      <c r="U48" s="325">
        <f>U47*FRACw.sM</f>
        <v>5.1490559826402112E-25</v>
      </c>
      <c r="V48" s="325">
        <f>V47*FRACw.sA</f>
        <v>1.2327258428443556E-26</v>
      </c>
      <c r="W48" s="326">
        <f>W47*FRACw.sT</f>
        <v>4.0346796037408953E-26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3.3462031489805959E-6</v>
      </c>
      <c r="AG48" s="326">
        <f>KDEG.sT*M.sT*Molweight</f>
        <v>2.8445136182666189E-14</v>
      </c>
      <c r="AH48" s="325"/>
      <c r="AI48" s="325"/>
      <c r="AJ48" s="325">
        <f>k.aT.sT*M.aT*Molweight</f>
        <v>5.6873880148199877E-4</v>
      </c>
      <c r="AK48" s="325">
        <f>k.sT.aT*M.sT*Molweight</f>
        <v>5.0490076575408049E-19</v>
      </c>
      <c r="AL48" s="333">
        <f>k.sT.w2T*M.sT*Molweight</f>
        <v>5.653925983045724E-4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35">
      <c r="A49" s="29"/>
      <c r="B49" s="121" t="s">
        <v>718</v>
      </c>
      <c r="C49" s="318">
        <f>C47*FRs.s3R</f>
        <v>114095873.60061051</v>
      </c>
      <c r="D49" s="122">
        <f>C49/$C$51</f>
        <v>1.4366555672815523E-2</v>
      </c>
      <c r="E49" s="318">
        <f>E47*FRs.s3C</f>
        <v>62747236.088373877</v>
      </c>
      <c r="F49" s="122">
        <f>E49/$E$51</f>
        <v>2.0097956172348049E-2</v>
      </c>
      <c r="G49" s="318">
        <f>G47*FRs.sM</f>
        <v>100764437.07617588</v>
      </c>
      <c r="H49" s="122">
        <f>G49/$G$51</f>
        <v>4.0228771114678185E-4</v>
      </c>
      <c r="I49" s="318">
        <f>I47*FRs.sA</f>
        <v>7293687.3381143399</v>
      </c>
      <c r="J49" s="122">
        <f>I49/$I$51</f>
        <v>4.4003324005305352E-5</v>
      </c>
      <c r="K49" s="318">
        <f>K47*FRs.sT</f>
        <v>2844134.4003465734</v>
      </c>
      <c r="L49" s="123">
        <f>K49/$K$51</f>
        <v>4.6069159945263083E-6</v>
      </c>
      <c r="M49" s="320">
        <f>C.s3R*FRs.s3R*(Molweight*1000)/(FRACs.s3R*RHOsolid)</f>
        <v>6.6556342244161806E-2</v>
      </c>
      <c r="N49" s="320">
        <f>C.s3C*FRs.s3C*(Molweight*1000)/(FRACs.s3C*RHOsolid)</f>
        <v>2.4000809403519714E-3</v>
      </c>
      <c r="O49" s="320">
        <f>C.sM*FRs.sM*(Molweight*1000)/(FRACs.sM*RHOsolid)</f>
        <v>3.4639819264895675E-5</v>
      </c>
      <c r="P49" s="320">
        <f>C.sA*FRs.sA*(Molweight*1000)/(FRACs.sA*RHOsolid)</f>
        <v>5.7205390887171278E-6</v>
      </c>
      <c r="Q49" s="320">
        <f>C.sT*FRs.sT*(Molweight*1000)/(FRACs.sT*RHOsolid)</f>
        <v>9.9141939881361983E-7</v>
      </c>
      <c r="R49" s="120" t="s">
        <v>1494</v>
      </c>
      <c r="S49" s="325">
        <f>S47*(1-FRACw.s3R)</f>
        <v>3.9573224051113751E-21</v>
      </c>
      <c r="T49" s="325">
        <f>T47*(1-FRACw.s3C)</f>
        <v>1.4270456817612705E-22</v>
      </c>
      <c r="U49" s="325">
        <f>U47*(1-FRACw.sM)</f>
        <v>2.0596223930560845E-24</v>
      </c>
      <c r="V49" s="325">
        <f>V47*(1-FRACw.sA)</f>
        <v>4.9309033713774224E-26</v>
      </c>
      <c r="W49" s="326">
        <f>W47*(1-FRACw.sT)</f>
        <v>1.6138718414963581E-25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0.95129375230699786</v>
      </c>
      <c r="AG49" s="336">
        <f>SUM(AG11:AG48)</f>
        <v>7.2071969479244578E-9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3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35">
      <c r="A51" s="29"/>
      <c r="B51" s="129" t="s">
        <v>23</v>
      </c>
      <c r="C51" s="317">
        <f>SUM(C11,C15,C19,C23,C27,C31,C35,C39,C43,C47)</f>
        <v>7941769495.6978006</v>
      </c>
      <c r="D51" s="130">
        <f>C51/SUM($C$51,$E$51,$G$51,$I$51,$K$51)</f>
        <v>7.6022719970480455E-3</v>
      </c>
      <c r="E51" s="317">
        <f>SUM(E11,E15,E19,E23,E27,E31,E35,E39,E43,E47)</f>
        <v>3122070500.6166358</v>
      </c>
      <c r="F51" s="130">
        <f>E51/SUM($C$51,$E$51,$G$51,$I$51,$K$51)</f>
        <v>2.9886071551818781E-3</v>
      </c>
      <c r="G51" s="317">
        <f>SUM(G11,G15,G19,G23,G27,G31,G35,G39,G43,G47)</f>
        <v>250478536341.39517</v>
      </c>
      <c r="H51" s="130">
        <f>G51/SUM($C$51,$E$51,$G$51,$I$51,$K$51)</f>
        <v>0.23977099357030096</v>
      </c>
      <c r="I51" s="317">
        <f>SUM(I11,I15,I19,I23,I27,I31,I35,I39,I43,I47)</f>
        <v>165753099407.55753</v>
      </c>
      <c r="J51" s="130">
        <f>I51/SUM($C$51,$E$51,$G$51,$I$51,$K$51)</f>
        <v>0.15866742880571066</v>
      </c>
      <c r="K51" s="317">
        <f>SUM(K11,K15,K19,K23,K27,K31,K35,K39,K43,K47)</f>
        <v>617361897574.39075</v>
      </c>
      <c r="L51" s="130">
        <f>K51/SUM($C$51,$E$51,$G$51,$I$51,$K$51)</f>
        <v>0.59097069847175854</v>
      </c>
      <c r="M51" s="199"/>
      <c r="N51" s="199"/>
      <c r="O51" s="199"/>
      <c r="P51" s="199"/>
      <c r="Q51" s="199"/>
      <c r="R51" s="199"/>
      <c r="S51" s="328">
        <f>SUM(S11,S15,S19,S23,S27,S35,S39,S43,S47)</f>
        <v>1.6813423221397813E-6</v>
      </c>
      <c r="T51" s="328">
        <f>SUM(T11,T15,T19,T23,T27,T35,T39,T43,T47)</f>
        <v>5.3388830940555411E-8</v>
      </c>
      <c r="U51" s="328">
        <f>SUM(U11,U15,U19,U23,U27,U35,U39,U43,U47)</f>
        <v>7.5969979734066718E-10</v>
      </c>
      <c r="V51" s="328">
        <f>SUM(V11,V15,V19,V23,V27,V35,V39,V43,V47)</f>
        <v>5.5728405658001699E-11</v>
      </c>
      <c r="W51" s="328">
        <f>SUM(W11,W15,W19,W23,W27,W35,W39,W43,W47)</f>
        <v>3.7410468239089863E-11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8.6398440653358399E-8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3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2.7392998218675094E-4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3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2.9245939910467895E-4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3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3.0787419456165353E-5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3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0.5167334172135285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3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5.5726965965851964E-2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3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5.873401449099503E-2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3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0.15804178800817092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3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5.8734014490995023E-2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3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3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3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3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3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3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3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3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Sb(III)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3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3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3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3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3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1.9475442662651513E-26</v>
      </c>
      <c r="AY72" s="75"/>
      <c r="AZ72" s="256">
        <f>output!AF22</f>
        <v>7.2352747782279855E-6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3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0.18723207404827041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3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3.3224530195435711E-2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3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6.3262262472307289E-6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3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3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3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3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3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3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3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3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3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1.1486460396876223E-17</v>
      </c>
      <c r="BE84" s="2"/>
      <c r="BF84" s="304">
        <f>IF(output!AK30&lt;0,"",output!AK30)</f>
        <v>4.2542445914356379E-18</v>
      </c>
      <c r="BG84" s="75"/>
      <c r="BH84" s="311">
        <f>IF(output!AK29&lt;0,"",output!AK29)</f>
        <v>2.552546754756902E-17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3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1.337105970039861E-16</v>
      </c>
      <c r="AV85" s="87"/>
      <c r="AW85" s="75"/>
      <c r="AX85" s="304">
        <f>output!AL24</f>
        <v>6.5948289525886133E-2</v>
      </c>
      <c r="AY85" s="87"/>
      <c r="AZ85" s="201"/>
      <c r="BA85" s="311">
        <f>IF(output!AI23&lt;0,"",output!AI23)</f>
        <v>4.6601001547417245E-19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3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2.0132863509742662E-2</v>
      </c>
      <c r="BE86" s="87"/>
      <c r="BF86" s="304">
        <f>IF(output!AJ30&lt;0,"",output!AJ30)</f>
        <v>7.4566161147195031E-3</v>
      </c>
      <c r="BG86" s="75"/>
      <c r="BH86" s="311">
        <f>IF(output!AJ29&lt;0,"",output!AJ29)</f>
        <v>4.4739696688317024E-2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3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7.9434147430745436E-2</v>
      </c>
      <c r="AV87" s="200"/>
      <c r="AW87" s="84"/>
      <c r="AX87" s="304">
        <f>IF(output!AH24&lt;0,"",output!AH24)</f>
        <v>2.0505694316543866E-3</v>
      </c>
      <c r="AY87" s="291">
        <f>output!AL24</f>
        <v>6.5948289525886133E-2</v>
      </c>
      <c r="AZ87" s="75"/>
      <c r="BA87" s="311">
        <f>IF(output!AH23&lt;0,"",output!AH23)</f>
        <v>1.8641540287767154E-4</v>
      </c>
      <c r="BB87" s="291">
        <f>output!AL23</f>
        <v>5.9952990478078314E-3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3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6.1817144506750576E-3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3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3.8862582042199438E-2</v>
      </c>
      <c r="AT89" s="83"/>
      <c r="AU89" s="302"/>
      <c r="AV89" s="75"/>
      <c r="AW89" s="81"/>
      <c r="AX89" s="265">
        <f>output!AD24</f>
        <v>6.1817144506750576E-3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3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47.973557549631451</v>
      </c>
      <c r="AT90" s="81"/>
      <c r="AU90" s="278">
        <f>output!AD25</f>
        <v>48.382377644742725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3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1.0446474583731764E-14</v>
      </c>
      <c r="BB91" s="309">
        <f>IF(ISERROR(output!F15),0,output!F15)</f>
        <v>8.259448425288838E-4</v>
      </c>
      <c r="BC91" s="2"/>
      <c r="BD91" s="295">
        <f>output!AG28</f>
        <v>6.8814074371359341E-13</v>
      </c>
      <c r="BE91" s="2"/>
      <c r="BF91" s="312">
        <f>output!AG30</f>
        <v>2.5486694211614568E-13</v>
      </c>
      <c r="BG91" s="75"/>
      <c r="BH91" s="295">
        <f>output!AG29</f>
        <v>3.360482198901277E-12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3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3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3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1.7135141589287838E-4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3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2.0210746872571049E-15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3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0.32923918049797807</v>
      </c>
      <c r="AZ96" s="75"/>
      <c r="BA96" s="75"/>
      <c r="BB96" s="43"/>
      <c r="BC96" s="2"/>
      <c r="BD96" s="277">
        <f>IF(ISERROR(output!F39),0,output!F39)</f>
        <v>5.4271716929561772E-2</v>
      </c>
      <c r="BE96" s="43"/>
      <c r="BF96" s="277">
        <f>IF(ISERROR(output!F47),0,output!F47)</f>
        <v>2.0100635899837693E-2</v>
      </c>
      <c r="BG96" s="43"/>
      <c r="BH96" s="277">
        <f>IF(ISERROR(output!F43),0,output!F43)</f>
        <v>0.26503173996264384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3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5.994739627029138E-12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3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0.36455717186399217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3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4.9904042368144136E-14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3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3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0.48460856874141189</v>
      </c>
      <c r="AW101" s="56"/>
      <c r="AX101" s="307"/>
      <c r="AY101" s="276">
        <f>IF(ISERROR(output!F23),0,output!F23)</f>
        <v>3.9357908767744939E-3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3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3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3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5.0538744711624712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3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3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5.5421287136984949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3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0.17104792510510147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3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2.1688100736753676E-12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3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3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3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0.48825424253385574</v>
      </c>
      <c r="AW111" s="75"/>
      <c r="AX111" s="290">
        <f>output!AF26</f>
        <v>3.5317991365964169E-2</v>
      </c>
      <c r="AY111" s="75"/>
      <c r="AZ111" s="75"/>
      <c r="BA111" s="75"/>
      <c r="BB111" s="76"/>
      <c r="BC111" s="2"/>
      <c r="BD111" s="295">
        <f>output!AF28</f>
        <v>1.0732854473575585E-4</v>
      </c>
      <c r="BE111" s="76"/>
      <c r="BF111" s="295">
        <f>output!AF30</f>
        <v>3.9751312865094766E-5</v>
      </c>
      <c r="BG111" s="43"/>
      <c r="BH111" s="294">
        <f>output!AF29</f>
        <v>2.3850787718080596E-4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3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3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3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3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3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2.7434697151377908E-9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3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2.9590090514721051E-6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3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1.8602401153273544E-6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3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2.0371870017229599E-6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3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3.2867749662808267E-3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3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3.6874233929455606E-3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3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2.1180008392447211E-3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3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1.1635980292375996E-3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3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2.118000839244722E-3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3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3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3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3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3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3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3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3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Sb(III)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3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3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3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3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3.5266150909565547E-3</v>
      </c>
      <c r="AT136" s="81">
        <f>output!AD32</f>
        <v>2.7476563352276752E-2</v>
      </c>
      <c r="AU136" s="268">
        <f>output!AF32</f>
        <v>1.109327480183449E-6</v>
      </c>
      <c r="AV136" s="221"/>
      <c r="AW136" s="221"/>
      <c r="AX136" s="221"/>
      <c r="AY136" s="279">
        <f>output!AE38</f>
        <v>9.1311400710015862E-5</v>
      </c>
      <c r="AZ136" s="266">
        <f>output!AD38</f>
        <v>1.1486858875369734E-3</v>
      </c>
      <c r="BA136" s="268">
        <f>output!AF38</f>
        <v>4.8313891869407481E-8</v>
      </c>
      <c r="BB136" s="75"/>
      <c r="BC136" s="75"/>
      <c r="BD136" s="75"/>
      <c r="BE136" s="279">
        <f>output!AE44</f>
        <v>9.3700442569656908E-5</v>
      </c>
      <c r="BF136" s="266">
        <f>output!AD44</f>
        <v>1.9895823191513869E-3</v>
      </c>
      <c r="BG136" s="268">
        <f>output!AF44</f>
        <v>8.5871547144291309E-8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3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3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3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2.9860156520147679E-27</v>
      </c>
      <c r="AV141" s="223" t="s">
        <v>446</v>
      </c>
      <c r="AW141" s="221"/>
      <c r="AX141" s="221"/>
      <c r="AY141" s="2"/>
      <c r="AZ141" s="202"/>
      <c r="BA141" s="269">
        <f>output!AG38</f>
        <v>2.6661007520457784E-29</v>
      </c>
      <c r="BB141" s="47" t="s">
        <v>446</v>
      </c>
      <c r="BC141" s="75"/>
      <c r="BD141" s="75"/>
      <c r="BE141" s="2"/>
      <c r="BF141" s="202"/>
      <c r="BG141" s="269">
        <f>output!AG44</f>
        <v>3.9811981636809635E-28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1.2089870553080004E-8</v>
      </c>
      <c r="AW142" s="221"/>
      <c r="AX142" s="221"/>
      <c r="AY142" s="203"/>
      <c r="AZ142" s="202"/>
      <c r="BA142" s="75"/>
      <c r="BB142" s="277">
        <f>IF(ISERROR(output!J11),0,output!J11)</f>
        <v>7.956879136449307E-10</v>
      </c>
      <c r="BC142" s="75"/>
      <c r="BD142" s="75"/>
      <c r="BE142" s="203"/>
      <c r="BF142" s="75"/>
      <c r="BG142" s="75"/>
      <c r="BH142" s="277">
        <f>IF(ISERROR(output!L11),0,output!L11)</f>
        <v>3.7970110566801064E-10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6.8317999032917614E-18</v>
      </c>
      <c r="AY144" s="2"/>
      <c r="AZ144" s="75"/>
      <c r="BA144" s="75"/>
      <c r="BB144" s="75"/>
      <c r="BC144" s="75"/>
      <c r="BD144" s="270">
        <f>k.sA.aA*M.sA*Molweight</f>
        <v>7.7685944253960903E-20</v>
      </c>
      <c r="BE144" s="2"/>
      <c r="BF144" s="75"/>
      <c r="BG144" s="75"/>
      <c r="BH144" s="75"/>
      <c r="BI144" s="75"/>
      <c r="BJ144" s="270">
        <f>k.sT.aT*M.sT*Molweight</f>
        <v>5.0490076575408049E-19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1.3957952007432669E-15</v>
      </c>
      <c r="AV145" s="221"/>
      <c r="AW145" s="221"/>
      <c r="AX145" s="221"/>
      <c r="AY145" s="2"/>
      <c r="AZ145" s="75"/>
      <c r="BA145" s="270">
        <f>k.w2A.aA*M.w2A*Molweight</f>
        <v>1.7565593354291982E-16</v>
      </c>
      <c r="BB145" s="75"/>
      <c r="BC145" s="75"/>
      <c r="BD145" s="221"/>
      <c r="BE145" s="2"/>
      <c r="BF145" s="75"/>
      <c r="BG145" s="270">
        <f>k.w2T.aT*M.w2T*Molweight</f>
        <v>8.4090044986135958E-15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1.1974419466614062E-2</v>
      </c>
      <c r="AY146" s="2"/>
      <c r="AZ146" s="75"/>
      <c r="BA146" s="221"/>
      <c r="BB146" s="75"/>
      <c r="BC146" s="75"/>
      <c r="BD146" s="270">
        <f>IF(output!AJ42&lt;0,"",output!AJ42)</f>
        <v>4.2293046917096246E-4</v>
      </c>
      <c r="BE146" s="2"/>
      <c r="BF146" s="75"/>
      <c r="BG146" s="221"/>
      <c r="BH146" s="75"/>
      <c r="BI146" s="75"/>
      <c r="BJ146" s="270">
        <f>IF(output!AJ48&lt;0,"",output!AJ48)</f>
        <v>5.6873880148199877E-4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2320.5551036179691</v>
      </c>
      <c r="AT147" s="81">
        <f>output!AD33</f>
        <v>2320.5312186148458</v>
      </c>
      <c r="AU147" s="270">
        <f>IF(output!AH33&lt;0,"",output!AH33)</f>
        <v>1.1974419467227354E-2</v>
      </c>
      <c r="AV147" s="272">
        <f>output!AL33</f>
        <v>1.1910583687713283E-2</v>
      </c>
      <c r="AW147" s="221"/>
      <c r="AX147" s="221"/>
      <c r="AY147" s="279">
        <f>output!AE39</f>
        <v>1703.3660171805111</v>
      </c>
      <c r="AZ147" s="266">
        <f>output!AD39</f>
        <v>1703.364961504579</v>
      </c>
      <c r="BA147" s="270">
        <f>IF(output!AH39&lt;0,"",output!AH39)</f>
        <v>6.3439570376430101E-4</v>
      </c>
      <c r="BB147" s="272">
        <f>output!AL39</f>
        <v>4.2128023343080036E-4</v>
      </c>
      <c r="BC147" s="75"/>
      <c r="BD147" s="75"/>
      <c r="BE147" s="279">
        <f>output!AE45</f>
        <v>4434.4032583131939</v>
      </c>
      <c r="BF147" s="266">
        <f>output!AD45</f>
        <v>4434.4013658635704</v>
      </c>
      <c r="BG147" s="270">
        <f>IF(output!AH45&lt;0,"",output!AH45)</f>
        <v>1.3270572035609959E-3</v>
      </c>
      <c r="BH147" s="272">
        <f>output!AL45</f>
        <v>5.653925983045724E-4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3.1527472467869598E-2</v>
      </c>
      <c r="AW150" s="221"/>
      <c r="AX150" s="221"/>
      <c r="AY150" s="2"/>
      <c r="AZ150" s="75"/>
      <c r="BA150" s="59"/>
      <c r="BB150" s="273">
        <f>IF(ISERROR(output!J27),0,output!J27)</f>
        <v>3.8165633844527043E-2</v>
      </c>
      <c r="BC150" s="78"/>
      <c r="BD150" s="75"/>
      <c r="BE150" s="2"/>
      <c r="BF150" s="75"/>
      <c r="BG150" s="59"/>
      <c r="BH150" s="273">
        <f>IF(ISERROR(output!L27),0,output!L27)</f>
        <v>2.9431642106933897E-2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4.0928534151670989E-13</v>
      </c>
      <c r="AY151" s="2"/>
      <c r="AZ151" s="75"/>
      <c r="BA151" s="59"/>
      <c r="BB151" s="49"/>
      <c r="BC151" s="75"/>
      <c r="BD151" s="274">
        <f>output!AJ42</f>
        <v>4.2293046917096246E-4</v>
      </c>
      <c r="BE151" s="2"/>
      <c r="BF151" s="75"/>
      <c r="BG151" s="59"/>
      <c r="BH151" s="59"/>
      <c r="BI151" s="75"/>
      <c r="BJ151" s="274">
        <f>output!AG48</f>
        <v>2.8445136182666189E-14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3.1289325560573587E-11</v>
      </c>
      <c r="AW152" s="221"/>
      <c r="AX152" s="221"/>
      <c r="AY152" s="2"/>
      <c r="AZ152" s="75"/>
      <c r="BA152" s="59"/>
      <c r="BB152" s="257">
        <f>output!AG39</f>
        <v>5.4551246296276059E-12</v>
      </c>
      <c r="BC152" s="2"/>
      <c r="BD152" s="75"/>
      <c r="BE152" s="2"/>
      <c r="BF152" s="75"/>
      <c r="BG152" s="59"/>
      <c r="BH152" s="257">
        <f>output!AG45</f>
        <v>1.7726779408102152E-10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1967.2050555700666</v>
      </c>
      <c r="AU153" s="224"/>
      <c r="AV153" s="225"/>
      <c r="AW153" s="221"/>
      <c r="AX153" s="221"/>
      <c r="AY153" s="2"/>
      <c r="AZ153" s="275">
        <f>k.w3A.w2A*M.w3A*Molweight</f>
        <v>1397.9568772793959</v>
      </c>
      <c r="BA153" s="59"/>
      <c r="BB153" s="49"/>
      <c r="BC153" s="2"/>
      <c r="BD153" s="75"/>
      <c r="BE153" s="2"/>
      <c r="BF153" s="275">
        <f>k.w3T.w2T*M.w3T*Molweight</f>
        <v>4434.4013658635704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1967.2252471661786</v>
      </c>
      <c r="AU155" s="221"/>
      <c r="AV155" s="223" t="s">
        <v>2166</v>
      </c>
      <c r="AW155" s="221"/>
      <c r="AX155" s="271">
        <f>IF(ISERROR(output!H47),0,output!H47)</f>
        <v>4.023413495082681E-4</v>
      </c>
      <c r="AY155" s="2"/>
      <c r="AZ155" s="275">
        <f>k.w2A.w3A*M.w2A*Molweight</f>
        <v>1703.3660171805111</v>
      </c>
      <c r="BA155" s="75"/>
      <c r="BB155" s="223" t="s">
        <v>2166</v>
      </c>
      <c r="BC155" s="47"/>
      <c r="BD155" s="271">
        <f>IF(ISERROR(output!J47),0,output!J47)</f>
        <v>4.4009191115172717E-5</v>
      </c>
      <c r="BE155" s="2"/>
      <c r="BF155" s="275">
        <f>k.w2T.w3T*M.w2T*Molweight</f>
        <v>4129.0255369708912</v>
      </c>
      <c r="BG155" s="75"/>
      <c r="BH155" s="223" t="s">
        <v>2166</v>
      </c>
      <c r="BI155" s="47"/>
      <c r="BJ155" s="271">
        <f>IF(ISERROR(output!L47),0,output!L47)</f>
        <v>4.6075302499922452E-6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0.94581446609860464</v>
      </c>
      <c r="AW156" s="221"/>
      <c r="AX156" s="221"/>
      <c r="AY156" s="203"/>
      <c r="AZ156" s="2"/>
      <c r="BA156" s="75"/>
      <c r="BB156" s="273">
        <f>IF(ISERROR(output!J31),0,output!J31)</f>
        <v>0.93967901972702861</v>
      </c>
      <c r="BC156" s="75"/>
      <c r="BD156" s="75"/>
      <c r="BE156" s="203"/>
      <c r="BF156" s="2"/>
      <c r="BG156" s="75"/>
      <c r="BH156" s="273">
        <f>IF(ISERROR(output!L31),0,output!L31)</f>
        <v>0.9482507152596148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2272.6100050872669</v>
      </c>
      <c r="AT157" s="266">
        <f>output!AD34</f>
        <v>2272.6266392603166</v>
      </c>
      <c r="AU157" s="221"/>
      <c r="AV157" s="225"/>
      <c r="AW157" s="226"/>
      <c r="AX157" s="221"/>
      <c r="AY157" s="279">
        <f>output!AE40</f>
        <v>1703.3582693735341</v>
      </c>
      <c r="AZ157" s="266">
        <f>output!AD40</f>
        <v>1703.3660171805111</v>
      </c>
      <c r="BA157" s="75"/>
      <c r="BB157" s="2"/>
      <c r="BC157" s="76"/>
      <c r="BD157" s="75"/>
      <c r="BE157" s="279">
        <f>output!AE46</f>
        <v>4434.4013658635704</v>
      </c>
      <c r="BF157" s="266">
        <f>output!AD46</f>
        <v>4434.4304864880914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9.3867013220990605E-10</v>
      </c>
      <c r="AW158" s="226"/>
      <c r="AX158" s="221"/>
      <c r="AY158" s="2"/>
      <c r="AZ158" s="75"/>
      <c r="BA158" s="75"/>
      <c r="BB158" s="274">
        <f>output!AG40</f>
        <v>1.3431104499243936E-10</v>
      </c>
      <c r="BC158" s="2"/>
      <c r="BD158" s="75"/>
      <c r="BE158" s="2"/>
      <c r="BF158" s="75"/>
      <c r="BG158" s="75"/>
      <c r="BH158" s="274">
        <f>output!AG46</f>
        <v>5.711346717219726E-9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57.836650719594516</v>
      </c>
      <c r="AU159" s="221"/>
      <c r="AV159" s="221"/>
      <c r="AW159" s="226"/>
      <c r="AX159" s="221"/>
      <c r="AY159" s="2"/>
      <c r="AZ159" s="272">
        <f>k.sdA.w3A*M.sdA*Molweight</f>
        <v>38.028068603441966</v>
      </c>
      <c r="BA159" s="2"/>
      <c r="BB159" s="75"/>
      <c r="BC159" s="2"/>
      <c r="BD159" s="75"/>
      <c r="BE159" s="2"/>
      <c r="BF159" s="275">
        <f>k.sdT.w3T*M.sdT*Molweight</f>
        <v>142.93088453071641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57.85328489170535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38.035816410284475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142.96000514952817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2.2255707994147E-2</v>
      </c>
      <c r="AW162" s="221"/>
      <c r="AX162" s="221"/>
      <c r="AY162" s="2"/>
      <c r="AZ162" s="75"/>
      <c r="BA162" s="47"/>
      <c r="BB162" s="276">
        <f>IF(ISERROR(output!J35),0,output!J35)</f>
        <v>2.211133644164115E-2</v>
      </c>
      <c r="BC162" s="75"/>
      <c r="BD162" s="75"/>
      <c r="BE162" s="2"/>
      <c r="BF162" s="75"/>
      <c r="BG162" s="47"/>
      <c r="BH162" s="276">
        <f>IF(ISERROR(output!L35),0,output!L35)</f>
        <v>2.2313034723500162E-2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2.2639818299096891E-11</v>
      </c>
      <c r="AV164" s="269">
        <f>output!AF35</f>
        <v>1.6634172088210671E-2</v>
      </c>
      <c r="AW164" s="221"/>
      <c r="AX164" s="274">
        <f>output!AF36</f>
        <v>6.383577849148299E-5</v>
      </c>
      <c r="AY164" s="2"/>
      <c r="AZ164" s="2"/>
      <c r="BA164" s="269">
        <f>output!AG41</f>
        <v>3.2394528704484265E-12</v>
      </c>
      <c r="BB164" s="269">
        <f>output!AF41</f>
        <v>7.7478068392636042E-3</v>
      </c>
      <c r="BC164" s="75"/>
      <c r="BD164" s="274">
        <f>output!AF42</f>
        <v>1.6502357337143315E-6</v>
      </c>
      <c r="BE164" s="2"/>
      <c r="BF164" s="2"/>
      <c r="BG164" s="269">
        <f>output!AG47</f>
        <v>1.377521745754333E-10</v>
      </c>
      <c r="BH164" s="269">
        <f>output!AF47</f>
        <v>2.9120618673988248E-2</v>
      </c>
      <c r="BI164" s="75"/>
      <c r="BJ164" s="274">
        <f>output!AF48</f>
        <v>3.3462031489805959E-6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3028.2530806924133</v>
      </c>
      <c r="BA172" s="128">
        <f>output!I11</f>
        <v>131.88773784778024</v>
      </c>
      <c r="BB172" s="128">
        <f>output!K11</f>
        <v>234.4129951062973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7896955158.2956114</v>
      </c>
      <c r="BA173" s="128">
        <f>output!I27</f>
        <v>6326072100.5843334</v>
      </c>
      <c r="BB173" s="128">
        <f>output!K27</f>
        <v>18169974419.86705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236906223118.89661</v>
      </c>
      <c r="BA174" s="128">
        <f>output!I31</f>
        <v>155754709968.01038</v>
      </c>
      <c r="BB174" s="128">
        <f>output!K31</f>
        <v>585413860948.9491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5574577163.6154289</v>
      </c>
      <c r="BA175" s="128">
        <f>output!I35</f>
        <v>3665022547.2452946</v>
      </c>
      <c r="BB175" s="128">
        <f>output!K35</f>
        <v>13775217457.543331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100777872.3344527</v>
      </c>
      <c r="BA176" s="128">
        <f>output!I47</f>
        <v>7294659.8297594208</v>
      </c>
      <c r="BB176" s="128">
        <f>output!K47</f>
        <v>2844513.6182666193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3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3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3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3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3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3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3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3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3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3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3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3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3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3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3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3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3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3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3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3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3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3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3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3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3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3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3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3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3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3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3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3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3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3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3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3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3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3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3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3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3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3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3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3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3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3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3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3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3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3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3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3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3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3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3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3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3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3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3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3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3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3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3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3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3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3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3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3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3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3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3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3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3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3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3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3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3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3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3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3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3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3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3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3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3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3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3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3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3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3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3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3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3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3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3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3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3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3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3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3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3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3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3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3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3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3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3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3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3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3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3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3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3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3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3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3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3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3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3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3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3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3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3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3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3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3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3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3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3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3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3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3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3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3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3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3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3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3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3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3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3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3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3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3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3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3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3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3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3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3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3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3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3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3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3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3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3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3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3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3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3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3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3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3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3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3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3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3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3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3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3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3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3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3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3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3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3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3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3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3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3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3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3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3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3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3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3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3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3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3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3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3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3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3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3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3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3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3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3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3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3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3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3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3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3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3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3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3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3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3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3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3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3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3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3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3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3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3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3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3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3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3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3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3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3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3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3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3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3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3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3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3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3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3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3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3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3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3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3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3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3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3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3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3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3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3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3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3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3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3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3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3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3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3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3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3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3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3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3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3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3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3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3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3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3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3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3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3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3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3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3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3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3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3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3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3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3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3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3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3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3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3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3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3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3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3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3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3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3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3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3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3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3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3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3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3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3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3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3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3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3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3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3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3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3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3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3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3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3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3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3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3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3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3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3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3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3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3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3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3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3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3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3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3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3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3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3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3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3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3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3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3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3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3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3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3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3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3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3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3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3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3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3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3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3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3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3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3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3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3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3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3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3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3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3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3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3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3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3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3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3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3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3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3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3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3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3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3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3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3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3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3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3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3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3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3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3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3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3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3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3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3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3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3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3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3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3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3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3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3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3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3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3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3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3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3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3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3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3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3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3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3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3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3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3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3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3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3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3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3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3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3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3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3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3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3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3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3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3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3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3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3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3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3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3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3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3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3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3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3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3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3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3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3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3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3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3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3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3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3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3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3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3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3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3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3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3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3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3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3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3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3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3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3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3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3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3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3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3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3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3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3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3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3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3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3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3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3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3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3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3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3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3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3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3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3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3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3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3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3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3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3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3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3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3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3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3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3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3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3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3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3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3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3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3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3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3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3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3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3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3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3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3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3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3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3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3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3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3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3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3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3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3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3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3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3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3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3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3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3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3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3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3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3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3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3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3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3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3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3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3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3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3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3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3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3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3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3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3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3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3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3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3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3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3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3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3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3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3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3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3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3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3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3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3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3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3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3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3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3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3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3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3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3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3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3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3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3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3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3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3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3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3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3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3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3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3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3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3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3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3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3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3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3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3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3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3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3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3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3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3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3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3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3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3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3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3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3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3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3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3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3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3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3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3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3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3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3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3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3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3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3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3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3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3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3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3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3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3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3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3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3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3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3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3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3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3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3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3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3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3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3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3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3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3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3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3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3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3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3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3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3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3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3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3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3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3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3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3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3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3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3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3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3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3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3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3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3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3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3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3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3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3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3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3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3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3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3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3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3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3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3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3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3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3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3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3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3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3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3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3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3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3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3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3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3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3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3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3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3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3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3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3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3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3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3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3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3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3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3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3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3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3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3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3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3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3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3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3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3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3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3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3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3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3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3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3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3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3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3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3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3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3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3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3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3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3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3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3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3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3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3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3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3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3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3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3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3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3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3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3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3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3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3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3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3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3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3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3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3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3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3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3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3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3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3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3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3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3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3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3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3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3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3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3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3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3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3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3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3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3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3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3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3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3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3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3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3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3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3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3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3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3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3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3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3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3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3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3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3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3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3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3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3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3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3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3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3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3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3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3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3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3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3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3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3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3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3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3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3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3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3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3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3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3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3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3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3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3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3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3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3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3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3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3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3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3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3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3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3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3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3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3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3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3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3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3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3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3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3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3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3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3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3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3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3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3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3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3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3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3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3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3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3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3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3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3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3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3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3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3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3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3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3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3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09375" defaultRowHeight="12.75" customHeight="1" x14ac:dyDescent="0.3"/>
  <cols>
    <col min="1" max="1" width="3.109375" customWidth="1"/>
    <col min="2" max="2" width="64.5546875" customWidth="1"/>
    <col min="3" max="3" width="4.33203125" customWidth="1"/>
    <col min="4" max="4" width="3.109375" style="10" customWidth="1"/>
    <col min="5" max="5" width="10.33203125" style="10" customWidth="1"/>
    <col min="6" max="39" width="8.6640625" style="9" customWidth="1"/>
    <col min="40" max="16384" width="9.109375" style="7"/>
  </cols>
  <sheetData>
    <row r="1" spans="1:39" ht="12.75" customHeight="1" thickBot="1" x14ac:dyDescent="0.3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3">
      <c r="A2" s="174"/>
      <c r="B2" s="174"/>
      <c r="C2" s="174"/>
      <c r="E2" s="79" t="s">
        <v>2334</v>
      </c>
      <c r="I2" s="10"/>
      <c r="J2" s="10"/>
    </row>
    <row r="3" spans="1:39" ht="12.75" customHeight="1" x14ac:dyDescent="0.3">
      <c r="A3" s="174"/>
      <c r="B3" s="174"/>
      <c r="C3" s="174"/>
      <c r="E3" s="9"/>
      <c r="I3" s="10"/>
      <c r="J3" s="10"/>
    </row>
    <row r="4" spans="1:39" ht="12.75" customHeight="1" x14ac:dyDescent="0.3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3">
      <c r="A5" s="174"/>
      <c r="B5" s="174"/>
      <c r="C5" s="174"/>
      <c r="E5" s="491" t="s">
        <v>1360</v>
      </c>
      <c r="F5" s="492" t="str">
        <f>ChemName</f>
        <v>Sb(III)</v>
      </c>
      <c r="I5" s="10"/>
      <c r="J5" s="10"/>
    </row>
    <row r="6" spans="1:39" ht="12.75" customHeight="1" x14ac:dyDescent="0.3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3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3">
      <c r="A8" s="174"/>
      <c r="B8" s="174"/>
      <c r="C8" s="174"/>
      <c r="E8" s="494" t="s">
        <v>2327</v>
      </c>
      <c r="G8" s="196">
        <f>(M.tot/Emis.tot)/(3600*24*365)</f>
        <v>34821.9124439886</v>
      </c>
      <c r="H8" s="218" t="s">
        <v>2326</v>
      </c>
      <c r="I8" s="10"/>
      <c r="J8" s="10"/>
    </row>
    <row r="9" spans="1:39" ht="12.75" customHeight="1" x14ac:dyDescent="0.3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3">
      <c r="A10" s="174"/>
      <c r="B10" s="174"/>
      <c r="C10" s="174"/>
      <c r="E10" s="495" t="s">
        <v>743</v>
      </c>
      <c r="F10" s="508">
        <v>0</v>
      </c>
      <c r="G10" s="508">
        <f>F11</f>
        <v>104465.73733196579</v>
      </c>
      <c r="H10" s="218" t="s">
        <v>2326</v>
      </c>
      <c r="I10" s="10"/>
      <c r="J10" s="22" t="s">
        <v>3925</v>
      </c>
    </row>
    <row r="11" spans="1:39" ht="12.75" customHeight="1" x14ac:dyDescent="0.3">
      <c r="A11" s="174"/>
      <c r="B11" s="174"/>
      <c r="C11" s="174"/>
      <c r="D11" s="14"/>
      <c r="E11" s="495" t="s">
        <v>1015</v>
      </c>
      <c r="F11" s="508">
        <f>Scale*(M.tot/Emis.tot)/(3600*24*365)</f>
        <v>104465.73733196579</v>
      </c>
      <c r="G11" s="508">
        <f>2*Scale*(M.tot/Emis.tot)/(3600*24*365)</f>
        <v>208931.47466393159</v>
      </c>
      <c r="H11" s="218" t="s">
        <v>2326</v>
      </c>
      <c r="I11" s="10"/>
      <c r="J11" s="616" t="s">
        <v>3926</v>
      </c>
    </row>
    <row r="12" spans="1:39" ht="12.75" customHeight="1" x14ac:dyDescent="0.3">
      <c r="A12" s="174"/>
      <c r="B12" s="174"/>
      <c r="C12" s="174"/>
      <c r="D12" s="15"/>
    </row>
    <row r="13" spans="1:39" ht="12.75" customHeight="1" x14ac:dyDescent="0.3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3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3">
      <c r="A15" s="174"/>
      <c r="B15" s="174"/>
      <c r="C15" s="174"/>
      <c r="E15" s="218" t="s">
        <v>2332</v>
      </c>
      <c r="G15" s="481">
        <f t="array" ref="G15:AM15">emis</f>
        <v>2.6042864638440033</v>
      </c>
      <c r="H15" s="482">
        <v>0</v>
      </c>
      <c r="I15" s="482">
        <v>2.6042864638440033</v>
      </c>
      <c r="J15" s="482">
        <v>0</v>
      </c>
      <c r="K15" s="482">
        <v>0</v>
      </c>
      <c r="L15" s="482">
        <v>0</v>
      </c>
      <c r="M15" s="482">
        <v>0</v>
      </c>
      <c r="N15" s="482">
        <v>2.6042864638440033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3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3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3">
      <c r="A18" s="174"/>
      <c r="B18" s="174"/>
      <c r="C18" s="174"/>
      <c r="D18" s="15"/>
    </row>
    <row r="19" spans="1:39" ht="12.75" customHeight="1" x14ac:dyDescent="0.3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3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3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3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3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3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3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3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3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3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3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3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3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3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3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3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3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3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3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3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3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3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3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3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3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3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3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3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3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3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3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3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3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3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3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3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3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3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3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3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3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3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3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3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3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3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3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3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3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3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3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3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3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3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3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3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3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3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3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3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3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3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3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3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3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3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3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3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3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3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3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3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3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3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3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3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3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3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3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3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3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3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3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3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3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3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3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3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3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3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3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3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3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3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3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3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3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3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3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3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3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09375" defaultRowHeight="12.75" customHeight="1" x14ac:dyDescent="0.3"/>
  <cols>
    <col min="1" max="1" width="5.88671875" style="23" customWidth="1"/>
    <col min="2" max="2" width="31.44140625" style="7" customWidth="1"/>
    <col min="3" max="3" width="11.33203125" style="22" bestFit="1" customWidth="1"/>
    <col min="4" max="4" width="10.33203125" style="18" customWidth="1"/>
    <col min="5" max="5" width="8.109375" style="540" customWidth="1"/>
    <col min="6" max="6" width="6.6640625" style="23" customWidth="1"/>
    <col min="7" max="7" width="7.88671875" style="23" bestFit="1" customWidth="1"/>
    <col min="8" max="11" width="8.109375" style="8" customWidth="1"/>
    <col min="12" max="16" width="8" style="8" customWidth="1"/>
    <col min="17" max="17" width="8.88671875" style="8" customWidth="1"/>
    <col min="18" max="18" width="12" style="8" customWidth="1"/>
    <col min="19" max="19" width="10" style="8" customWidth="1"/>
    <col min="20" max="20" width="9.5546875" style="8" customWidth="1"/>
    <col min="21" max="21" width="10.88671875" style="182" bestFit="1" customWidth="1"/>
    <col min="22" max="22" width="11.6640625" style="183" customWidth="1"/>
    <col min="23" max="23" width="11.6640625" style="179" customWidth="1"/>
    <col min="24" max="24" width="9.6640625" style="187" customWidth="1"/>
    <col min="25" max="25" width="12" style="188" customWidth="1"/>
    <col min="26" max="26" width="9.33203125" style="188" customWidth="1"/>
    <col min="27" max="27" width="5.109375" style="196" hidden="1" customWidth="1"/>
    <col min="28" max="28" width="3.6640625" style="7" customWidth="1"/>
    <col min="29" max="16384" width="9.109375" style="7"/>
  </cols>
  <sheetData>
    <row r="1" spans="1:28" ht="12.75" customHeight="1" x14ac:dyDescent="0.3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3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3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3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3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3">
      <c r="A6" s="544">
        <f>ChemRowNr</f>
        <v>1026</v>
      </c>
      <c r="B6" s="439" t="str">
        <f t="shared" ref="B6:Z6" si="0">IF(ISBLANK(VLOOKUP($A6,$A$8:$Z$1041,COLUMN(),0)),"",VLOOKUP($A6,$A$8:$Z$1041,COLUMN(),0))</f>
        <v>Sb(III)</v>
      </c>
      <c r="C6" s="439" t="str">
        <f t="shared" si="0"/>
        <v>7440-36-0</v>
      </c>
      <c r="D6" s="439" t="str">
        <f t="shared" si="0"/>
        <v>Metal</v>
      </c>
      <c r="E6" s="544" t="str">
        <f t="shared" si="0"/>
        <v/>
      </c>
      <c r="F6" s="544">
        <f t="shared" si="0"/>
        <v>121.76</v>
      </c>
      <c r="G6" s="544" t="str">
        <f t="shared" si="0"/>
        <v/>
      </c>
      <c r="H6" s="545" t="str">
        <f t="shared" si="0"/>
        <v/>
      </c>
      <c r="I6" s="545" t="str">
        <f t="shared" si="0"/>
        <v/>
      </c>
      <c r="J6" s="545">
        <f t="shared" si="0"/>
        <v>9.9999999999999995E-21</v>
      </c>
      <c r="K6" s="545" t="str">
        <f t="shared" si="0"/>
        <v/>
      </c>
      <c r="L6" s="545">
        <f t="shared" si="0"/>
        <v>2500</v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9.9999999999999995E-21</v>
      </c>
      <c r="R6" s="545">
        <f t="shared" si="0"/>
        <v>9.9999999999999995E-21</v>
      </c>
      <c r="S6" s="545">
        <f t="shared" si="0"/>
        <v>9.9999999999999995E-21</v>
      </c>
      <c r="T6" s="545">
        <f t="shared" si="0"/>
        <v>9.9999999999999995E-21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3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3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3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3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3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3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3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3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3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3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3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3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3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3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3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3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3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3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3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3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3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3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3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3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3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3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3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3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3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3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3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3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3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3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3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3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3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3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3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3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3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3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3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3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3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3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3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3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3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3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3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3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3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3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3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3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3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3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3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3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3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3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3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3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3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3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3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3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3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3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3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3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3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3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3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3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3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3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3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3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3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3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3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3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3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3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3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3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3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3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3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3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3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3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3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3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3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3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3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3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3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3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3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3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3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3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3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3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3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3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3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3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3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3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3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3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3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3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3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3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3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3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3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3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3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3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3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3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3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3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3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3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3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3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3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3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3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3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3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3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3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3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3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3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3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3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3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3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3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3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3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3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3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3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3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3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3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3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3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3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3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3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3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3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3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3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3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3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3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3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3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3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3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3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3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3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3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3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3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3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3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3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3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3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3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3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3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3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3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3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3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3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3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3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3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3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3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3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3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3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3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3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3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3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3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3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3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3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3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3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3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3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3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3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3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3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3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3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3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3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3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3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3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3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3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3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3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3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3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3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3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3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3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3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3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3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3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3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3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3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3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3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3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3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3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3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3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3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3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3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3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3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3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3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3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3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3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3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3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3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3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3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3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3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3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3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3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3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3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3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3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3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3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3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3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3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3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3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3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3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3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3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3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3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3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3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3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3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3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3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3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3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3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3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3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3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3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3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3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3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3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3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3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3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3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3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3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3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3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3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3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3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3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3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3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3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3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3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3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3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3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3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3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3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3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3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3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3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3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3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3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3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3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3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3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3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3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3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3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3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3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3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3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3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3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3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3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3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3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3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3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3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3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3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3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3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3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3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3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3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3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3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3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3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3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3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3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3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3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3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3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3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3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3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3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3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3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3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3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3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3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3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3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3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3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3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3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3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3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3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3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3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3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3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3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3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3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3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3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3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3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3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3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3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3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3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3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3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3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3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3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3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3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3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3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3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3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3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3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3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3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3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3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3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3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3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3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3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3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3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3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3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3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3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3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3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3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3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3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3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3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3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3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3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3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3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3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3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3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3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3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3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3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3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3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3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3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3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3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3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3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3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3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3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3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3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3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3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3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3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3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3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3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3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3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3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3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3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3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3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3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3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3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3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3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3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3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3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3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3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3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3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3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3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3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3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3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3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3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3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3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3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3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3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3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3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3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3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3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3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3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3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3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3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3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3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3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3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3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3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3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3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3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3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3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3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3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3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3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3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3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3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3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3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3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3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3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3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3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3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3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3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3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3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3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3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3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3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3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3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3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3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3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3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3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3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3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3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3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3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3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3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3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3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3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3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3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3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3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3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3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3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3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3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3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3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3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3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3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3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3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3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3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3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3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3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3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3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3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3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3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3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3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3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3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3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3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3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3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3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3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3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3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3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3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3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3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3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3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3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3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3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3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3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3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3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3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3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3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3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3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3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3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3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3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3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3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3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3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3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3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3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3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3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3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3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3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3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3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3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3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3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3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3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3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3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3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3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3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3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3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3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3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3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3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3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3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3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3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3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3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3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3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3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3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3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3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3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3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3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3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3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3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3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3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3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3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3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3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3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3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3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3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3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3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3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3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3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3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3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3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3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3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3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3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3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3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3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3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3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3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3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3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3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3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3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3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3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3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3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3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3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3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3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3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3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3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3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3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3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3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3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3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3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3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3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3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3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3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3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3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3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3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3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3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3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3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3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3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3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3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3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3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3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3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3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3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3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3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3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3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3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3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3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3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3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3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3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3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3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3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3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3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3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3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3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3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3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3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3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3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3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3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3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3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3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3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3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3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3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3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3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3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3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3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3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3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3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3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3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3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3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3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3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3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3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3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3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3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3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3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3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3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3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3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3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3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3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3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3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3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3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3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3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3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3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3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3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3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3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3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3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3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3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3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3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3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3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3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3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3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3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3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3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3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3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3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3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3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3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3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3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3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3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3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3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3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3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3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3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3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3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3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3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3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3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3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3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3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3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3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3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3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3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3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3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3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3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3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3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3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3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3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3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3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3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3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3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3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3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3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3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3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3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3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3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3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3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3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3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3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3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3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3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3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3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3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3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3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3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3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3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3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3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3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3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3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3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3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3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3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3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3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3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3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3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3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3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3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3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3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3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3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3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3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3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3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3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3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3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3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3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3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3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3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3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3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3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3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3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3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3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3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3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3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3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3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3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3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3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3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3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3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3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3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3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3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3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3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3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3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3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3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3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3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3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3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3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3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3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3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3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3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3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3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3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3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3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3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3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3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3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3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3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3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3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3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3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3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3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3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3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3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3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3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3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3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3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3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3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3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3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3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3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3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3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3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3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3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3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3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3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3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3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3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3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3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3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3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3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3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3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3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3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3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3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3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3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3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3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3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3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3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3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3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09375" defaultRowHeight="13.8" x14ac:dyDescent="0.3"/>
  <cols>
    <col min="1" max="5" width="1.6640625" customWidth="1"/>
    <col min="6" max="6" width="45.109375" customWidth="1"/>
    <col min="7" max="7" width="22.6640625" style="79" customWidth="1"/>
    <col min="8" max="8" width="10.6640625" style="79" customWidth="1"/>
    <col min="9" max="30" width="9.109375" style="179"/>
    <col min="31" max="32" width="9.109375" style="144"/>
    <col min="33" max="33" width="3" customWidth="1"/>
    <col min="34" max="16384" width="9.109375" style="19"/>
  </cols>
  <sheetData>
    <row r="1" spans="1:33" ht="12.75" customHeight="1" x14ac:dyDescent="0.3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3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" customHeight="1" x14ac:dyDescent="0.3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3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3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3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3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3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3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3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3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3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3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3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3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3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3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3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3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3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3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3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3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3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3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3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3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3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3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3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3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3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3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3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3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3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3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3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3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3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3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3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3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3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3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3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3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3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3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3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3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3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3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3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3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3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3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3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3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3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3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3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3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3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3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3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3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3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3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3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4.4" thickBot="1" x14ac:dyDescent="0.3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3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M3" sqref="M3"/>
    </sheetView>
  </sheetViews>
  <sheetFormatPr defaultColWidth="9.10937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528" customWidth="1"/>
    <col min="10" max="14" width="9.109375" style="430" customWidth="1"/>
    <col min="15" max="19" width="9.109375" style="179" customWidth="1"/>
    <col min="20" max="20" width="3.109375" customWidth="1"/>
    <col min="21" max="16384" width="9.109375" style="18"/>
  </cols>
  <sheetData>
    <row r="1" spans="1:21" ht="12.75" customHeight="1" x14ac:dyDescent="0.3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42"/>
      <c r="N1" s="342"/>
      <c r="O1" s="360"/>
      <c r="P1" s="360"/>
      <c r="Q1" s="360"/>
      <c r="R1" s="360"/>
      <c r="S1" s="360"/>
      <c r="T1" s="158"/>
    </row>
    <row r="2" spans="1:21" ht="12.75" customHeight="1" thickBot="1" x14ac:dyDescent="0.3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7"/>
      <c r="N2" s="427"/>
      <c r="O2" s="421"/>
      <c r="P2" s="421"/>
      <c r="Q2" s="421"/>
      <c r="R2" s="421"/>
      <c r="S2" s="421"/>
      <c r="T2" s="158"/>
    </row>
    <row r="3" spans="1:21" ht="26.4" customHeight="1" x14ac:dyDescent="0.3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4059</v>
      </c>
      <c r="M3" s="428"/>
      <c r="N3" s="428" t="s">
        <v>2201</v>
      </c>
      <c r="O3" s="423" t="s">
        <v>2203</v>
      </c>
      <c r="P3" s="423" t="s">
        <v>2206</v>
      </c>
      <c r="Q3" s="423" t="s">
        <v>2204</v>
      </c>
      <c r="R3" s="423" t="s">
        <v>2205</v>
      </c>
      <c r="S3" s="423" t="s">
        <v>2207</v>
      </c>
      <c r="T3" s="158"/>
      <c r="U3" s="18" t="s">
        <v>4058</v>
      </c>
    </row>
    <row r="4" spans="1:21" ht="12.75" customHeight="1" x14ac:dyDescent="0.3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29"/>
      <c r="M4" s="429"/>
      <c r="N4" s="433"/>
      <c r="O4" s="422"/>
      <c r="P4" s="422"/>
      <c r="Q4" s="422"/>
      <c r="R4" s="422"/>
      <c r="S4" s="422"/>
      <c r="T4" s="158"/>
    </row>
    <row r="5" spans="1:21" ht="26.4" customHeight="1" x14ac:dyDescent="0.3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49"/>
      <c r="N5" s="449"/>
      <c r="O5" s="450"/>
      <c r="P5" s="450"/>
      <c r="Q5" s="450"/>
      <c r="R5" s="450"/>
      <c r="S5" s="450"/>
      <c r="T5" s="158"/>
    </row>
    <row r="6" spans="1:21" ht="12.75" customHeight="1" x14ac:dyDescent="0.3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1"/>
      <c r="N6" s="451"/>
      <c r="O6" s="452"/>
      <c r="P6" s="452"/>
      <c r="Q6" s="452"/>
      <c r="R6" s="452"/>
      <c r="S6" s="452"/>
      <c r="T6" s="158"/>
    </row>
    <row r="7" spans="1:21" ht="12.75" customHeight="1" x14ac:dyDescent="0.3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49"/>
      <c r="M7" s="449"/>
      <c r="N7" s="451"/>
      <c r="O7" s="452"/>
      <c r="P7" s="452"/>
      <c r="Q7" s="452"/>
      <c r="R7" s="452"/>
      <c r="S7" s="452"/>
      <c r="T7" s="158"/>
    </row>
    <row r="8" spans="1:2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49"/>
      <c r="N8" s="449"/>
      <c r="O8" s="450"/>
      <c r="P8" s="450"/>
      <c r="Q8" s="450"/>
      <c r="R8" s="450"/>
      <c r="S8" s="450"/>
      <c r="T8" s="158"/>
    </row>
    <row r="9" spans="1:21" ht="12.75" customHeight="1" x14ac:dyDescent="0.3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49"/>
      <c r="M9" s="449"/>
      <c r="N9" s="453"/>
      <c r="O9" s="454"/>
      <c r="P9" s="454"/>
      <c r="Q9" s="454"/>
      <c r="R9" s="454"/>
      <c r="S9" s="454"/>
      <c r="T9" s="158"/>
    </row>
    <row r="10" spans="1:21" ht="26.4" customHeight="1" x14ac:dyDescent="0.3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49"/>
      <c r="N10" s="449"/>
      <c r="O10" s="450"/>
      <c r="P10" s="450"/>
      <c r="Q10" s="450"/>
      <c r="R10" s="450"/>
      <c r="S10" s="450"/>
      <c r="T10" s="158"/>
    </row>
    <row r="11" spans="1:21" ht="13.5" customHeight="1" x14ac:dyDescent="0.3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5"/>
      <c r="N11" s="455"/>
      <c r="O11" s="456"/>
      <c r="P11" s="456"/>
      <c r="Q11" s="456"/>
      <c r="R11" s="456"/>
      <c r="S11" s="456"/>
      <c r="T11" s="158"/>
    </row>
    <row r="12" spans="1:2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 t="s">
        <v>754</v>
      </c>
      <c r="M12" s="457"/>
      <c r="N12" s="457"/>
      <c r="O12" s="458"/>
      <c r="P12" s="458"/>
      <c r="Q12" s="458"/>
      <c r="R12" s="458"/>
      <c r="S12" s="458"/>
      <c r="T12" s="158"/>
    </row>
    <row r="13" spans="1:2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42"/>
      <c r="N13" s="342"/>
      <c r="O13" s="360"/>
      <c r="P13" s="360"/>
      <c r="Q13" s="360"/>
      <c r="R13" s="360"/>
      <c r="S13" s="360"/>
      <c r="T13" s="158"/>
    </row>
    <row r="14" spans="1:2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1"/>
      <c r="N14" s="451"/>
      <c r="O14" s="452"/>
      <c r="P14" s="452"/>
      <c r="Q14" s="452"/>
      <c r="R14" s="452"/>
      <c r="S14" s="452"/>
      <c r="T14" s="158"/>
    </row>
    <row r="15" spans="1:2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1"/>
      <c r="N15" s="451"/>
      <c r="O15" s="452"/>
      <c r="P15" s="452"/>
      <c r="Q15" s="452"/>
      <c r="R15" s="452"/>
      <c r="S15" s="452"/>
      <c r="T15" s="158"/>
    </row>
    <row r="16" spans="1:2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59"/>
      <c r="N16" s="459"/>
      <c r="O16" s="460"/>
      <c r="P16" s="460"/>
      <c r="Q16" s="460"/>
      <c r="R16" s="460"/>
      <c r="S16" s="460"/>
      <c r="T16" s="158"/>
    </row>
    <row r="17" spans="1:20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1"/>
      <c r="N17" s="451"/>
      <c r="O17" s="452"/>
      <c r="P17" s="452"/>
      <c r="Q17" s="452"/>
      <c r="R17" s="452"/>
      <c r="S17" s="452"/>
      <c r="T17" s="158"/>
    </row>
    <row r="18" spans="1:20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1"/>
      <c r="N18" s="451"/>
      <c r="O18" s="452"/>
      <c r="P18" s="452"/>
      <c r="Q18" s="452"/>
      <c r="R18" s="452"/>
      <c r="S18" s="452"/>
      <c r="T18" s="158"/>
    </row>
    <row r="19" spans="1:20" ht="12.75" customHeight="1" x14ac:dyDescent="0.3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1"/>
      <c r="N19" s="451"/>
      <c r="O19" s="452"/>
      <c r="P19" s="452"/>
      <c r="Q19" s="452"/>
      <c r="R19" s="452"/>
      <c r="S19" s="452"/>
      <c r="T19" s="158"/>
    </row>
    <row r="20" spans="1:20" ht="12.75" customHeight="1" x14ac:dyDescent="0.3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1"/>
      <c r="N20" s="451"/>
      <c r="O20" s="452"/>
      <c r="P20" s="452"/>
      <c r="Q20" s="452"/>
      <c r="R20" s="452"/>
      <c r="S20" s="452"/>
      <c r="T20" s="158"/>
    </row>
    <row r="21" spans="1:20" ht="12.75" customHeight="1" x14ac:dyDescent="0.3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1"/>
      <c r="N21" s="451"/>
      <c r="O21" s="452"/>
      <c r="P21" s="452"/>
      <c r="Q21" s="452"/>
      <c r="R21" s="452"/>
      <c r="S21" s="452"/>
      <c r="T21" s="158"/>
    </row>
    <row r="22" spans="1:20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1"/>
      <c r="N22" s="451"/>
      <c r="O22" s="452"/>
      <c r="P22" s="452"/>
      <c r="Q22" s="452"/>
      <c r="R22" s="452"/>
      <c r="S22" s="452"/>
      <c r="T22" s="158"/>
    </row>
    <row r="23" spans="1:20" ht="12.75" customHeight="1" x14ac:dyDescent="0.3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1"/>
      <c r="N23" s="451"/>
      <c r="O23" s="452"/>
      <c r="P23" s="452"/>
      <c r="Q23" s="452"/>
      <c r="R23" s="452"/>
      <c r="S23" s="452"/>
      <c r="T23" s="158"/>
    </row>
    <row r="24" spans="1:20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/>
      <c r="M24" s="451"/>
      <c r="N24" s="451">
        <v>1</v>
      </c>
      <c r="O24" s="452">
        <v>1</v>
      </c>
      <c r="P24" s="452">
        <v>1</v>
      </c>
      <c r="Q24" s="452">
        <v>1</v>
      </c>
      <c r="R24" s="452">
        <v>1</v>
      </c>
      <c r="S24" s="452"/>
      <c r="T24" s="158"/>
    </row>
    <row r="25" spans="1:20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/>
      <c r="M25" s="451"/>
      <c r="N25" s="451">
        <v>1</v>
      </c>
      <c r="O25" s="452">
        <v>1</v>
      </c>
      <c r="P25" s="452">
        <v>1</v>
      </c>
      <c r="Q25" s="452">
        <v>1</v>
      </c>
      <c r="R25" s="452">
        <v>1</v>
      </c>
      <c r="S25" s="452"/>
      <c r="T25" s="158"/>
    </row>
    <row r="26" spans="1:20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/>
      <c r="M26" s="451"/>
      <c r="N26" s="451">
        <v>1</v>
      </c>
      <c r="O26" s="452">
        <v>1</v>
      </c>
      <c r="P26" s="452">
        <v>1</v>
      </c>
      <c r="Q26" s="452">
        <v>1</v>
      </c>
      <c r="R26" s="452">
        <v>1</v>
      </c>
      <c r="S26" s="452"/>
      <c r="T26" s="158"/>
    </row>
    <row r="27" spans="1:20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/>
      <c r="M27" s="451"/>
      <c r="N27" s="451">
        <v>1</v>
      </c>
      <c r="O27" s="452">
        <v>1</v>
      </c>
      <c r="P27" s="452">
        <v>1</v>
      </c>
      <c r="Q27" s="452">
        <v>1</v>
      </c>
      <c r="R27" s="452">
        <v>1</v>
      </c>
      <c r="S27" s="452"/>
      <c r="T27" s="158"/>
    </row>
    <row r="28" spans="1:20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/>
      <c r="M28" s="451"/>
      <c r="N28" s="451">
        <v>1</v>
      </c>
      <c r="O28" s="452">
        <v>1</v>
      </c>
      <c r="P28" s="452">
        <v>1</v>
      </c>
      <c r="Q28" s="452">
        <v>1</v>
      </c>
      <c r="R28" s="452">
        <v>1</v>
      </c>
      <c r="S28" s="452"/>
      <c r="T28" s="158"/>
    </row>
    <row r="29" spans="1:20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/>
      <c r="M29" s="451"/>
      <c r="N29" s="451">
        <v>1</v>
      </c>
      <c r="O29" s="452">
        <v>1</v>
      </c>
      <c r="P29" s="452">
        <v>1</v>
      </c>
      <c r="Q29" s="452">
        <v>1</v>
      </c>
      <c r="R29" s="452">
        <v>1</v>
      </c>
      <c r="S29" s="452"/>
      <c r="T29" s="158"/>
    </row>
    <row r="30" spans="1:20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/>
      <c r="M30" s="451"/>
      <c r="N30" s="451">
        <v>1</v>
      </c>
      <c r="O30" s="452">
        <v>1</v>
      </c>
      <c r="P30" s="452">
        <v>1</v>
      </c>
      <c r="Q30" s="452">
        <v>1</v>
      </c>
      <c r="R30" s="452">
        <v>1</v>
      </c>
      <c r="S30" s="452"/>
      <c r="T30" s="158"/>
    </row>
    <row r="31" spans="1:20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/>
      <c r="M31" s="451"/>
      <c r="N31" s="451">
        <v>1</v>
      </c>
      <c r="O31" s="452">
        <v>1</v>
      </c>
      <c r="P31" s="452">
        <v>1</v>
      </c>
      <c r="Q31" s="452">
        <v>1</v>
      </c>
      <c r="R31" s="452">
        <v>1</v>
      </c>
      <c r="S31" s="452"/>
      <c r="T31" s="158"/>
    </row>
    <row r="32" spans="1:20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/>
      <c r="M32" s="451"/>
      <c r="N32" s="451">
        <v>1</v>
      </c>
      <c r="O32" s="452">
        <v>1</v>
      </c>
      <c r="P32" s="452">
        <v>1</v>
      </c>
      <c r="Q32" s="452">
        <v>1</v>
      </c>
      <c r="R32" s="452">
        <v>1</v>
      </c>
      <c r="S32" s="452"/>
      <c r="T32" s="158"/>
    </row>
    <row r="33" spans="1:20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/>
      <c r="M33" s="451"/>
      <c r="N33" s="451">
        <v>1</v>
      </c>
      <c r="O33" s="452">
        <v>1</v>
      </c>
      <c r="P33" s="452">
        <v>1</v>
      </c>
      <c r="Q33" s="452">
        <v>1</v>
      </c>
      <c r="R33" s="452">
        <v>1</v>
      </c>
      <c r="S33" s="452"/>
      <c r="T33" s="158"/>
    </row>
    <row r="34" spans="1:20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/>
      <c r="M34" s="451"/>
      <c r="N34" s="451">
        <v>1</v>
      </c>
      <c r="O34" s="452">
        <v>1</v>
      </c>
      <c r="P34" s="452">
        <v>1</v>
      </c>
      <c r="Q34" s="452">
        <v>1</v>
      </c>
      <c r="R34" s="452">
        <v>1</v>
      </c>
      <c r="S34" s="452"/>
      <c r="T34" s="158"/>
    </row>
    <row r="35" spans="1:20" ht="12.75" customHeight="1" x14ac:dyDescent="0.3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1"/>
      <c r="N35" s="451"/>
      <c r="O35" s="452"/>
      <c r="P35" s="452"/>
      <c r="Q35" s="452"/>
      <c r="R35" s="452"/>
      <c r="S35" s="452"/>
      <c r="T35" s="158"/>
    </row>
    <row r="36" spans="1:20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/>
      <c r="M36" s="451"/>
      <c r="N36" s="451">
        <v>50</v>
      </c>
      <c r="O36" s="452">
        <v>50</v>
      </c>
      <c r="P36" s="452">
        <v>50</v>
      </c>
      <c r="Q36" s="452"/>
      <c r="R36" s="452">
        <v>50</v>
      </c>
      <c r="S36" s="452">
        <v>50</v>
      </c>
      <c r="T36" s="158"/>
    </row>
    <row r="37" spans="1:20" ht="12.75" customHeight="1" x14ac:dyDescent="0.3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1"/>
      <c r="N37" s="451"/>
      <c r="O37" s="452"/>
      <c r="P37" s="452"/>
      <c r="Q37" s="452"/>
      <c r="R37" s="452"/>
      <c r="S37" s="452"/>
      <c r="T37" s="158"/>
    </row>
    <row r="38" spans="1:20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1"/>
      <c r="N38" s="451"/>
      <c r="O38" s="452"/>
      <c r="P38" s="452"/>
      <c r="Q38" s="452"/>
      <c r="R38" s="452"/>
      <c r="S38" s="452"/>
      <c r="T38" s="158"/>
    </row>
    <row r="39" spans="1:20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1"/>
      <c r="N39" s="451"/>
      <c r="O39" s="452"/>
      <c r="P39" s="452"/>
      <c r="Q39" s="452"/>
      <c r="R39" s="452"/>
      <c r="S39" s="452"/>
      <c r="T39" s="158"/>
    </row>
    <row r="40" spans="1:20" ht="12.75" customHeight="1" x14ac:dyDescent="0.3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42"/>
      <c r="N40" s="342"/>
      <c r="O40" s="360"/>
      <c r="P40" s="360"/>
      <c r="Q40" s="360"/>
      <c r="R40" s="360"/>
      <c r="S40" s="360"/>
      <c r="T40" s="158"/>
    </row>
    <row r="41" spans="1:20" ht="12.75" customHeight="1" x14ac:dyDescent="0.3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59"/>
      <c r="N41" s="459"/>
      <c r="O41" s="460"/>
      <c r="P41" s="460"/>
      <c r="Q41" s="460"/>
      <c r="R41" s="460"/>
      <c r="S41" s="460"/>
      <c r="T41" s="158"/>
    </row>
    <row r="42" spans="1:20" ht="12.75" customHeight="1" x14ac:dyDescent="0.3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59"/>
      <c r="N42" s="459"/>
      <c r="O42" s="460"/>
      <c r="P42" s="460"/>
      <c r="Q42" s="460"/>
      <c r="R42" s="460"/>
      <c r="S42" s="460"/>
      <c r="T42" s="158"/>
    </row>
    <row r="43" spans="1:20" ht="12.75" customHeight="1" x14ac:dyDescent="0.3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59"/>
      <c r="N43" s="459"/>
      <c r="O43" s="460"/>
      <c r="P43" s="460"/>
      <c r="Q43" s="460"/>
      <c r="R43" s="460"/>
      <c r="S43" s="460"/>
      <c r="T43" s="158"/>
    </row>
    <row r="44" spans="1:20" ht="12.75" customHeight="1" x14ac:dyDescent="0.3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59"/>
      <c r="N44" s="459"/>
      <c r="O44" s="460"/>
      <c r="P44" s="460"/>
      <c r="Q44" s="460"/>
      <c r="R44" s="460"/>
      <c r="S44" s="460"/>
      <c r="T44" s="158"/>
    </row>
    <row r="45" spans="1:20" ht="12.75" customHeight="1" x14ac:dyDescent="0.3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59"/>
      <c r="N45" s="459"/>
      <c r="O45" s="460"/>
      <c r="P45" s="460"/>
      <c r="Q45" s="460"/>
      <c r="R45" s="460"/>
      <c r="S45" s="460"/>
      <c r="T45" s="158"/>
    </row>
    <row r="46" spans="1:20" ht="12.75" customHeight="1" x14ac:dyDescent="0.3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59"/>
      <c r="N46" s="459"/>
      <c r="O46" s="460"/>
      <c r="P46" s="460"/>
      <c r="Q46" s="460"/>
      <c r="R46" s="460"/>
      <c r="S46" s="460"/>
      <c r="T46" s="158"/>
    </row>
    <row r="47" spans="1:20" ht="12.75" customHeight="1" x14ac:dyDescent="0.3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59"/>
      <c r="N47" s="459"/>
      <c r="O47" s="460"/>
      <c r="P47" s="460"/>
      <c r="Q47" s="460"/>
      <c r="R47" s="460"/>
      <c r="S47" s="460"/>
      <c r="T47" s="158"/>
    </row>
    <row r="48" spans="1:20" ht="12.75" customHeight="1" x14ac:dyDescent="0.3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59"/>
      <c r="N48" s="459"/>
      <c r="O48" s="460"/>
      <c r="P48" s="460"/>
      <c r="Q48" s="460"/>
      <c r="R48" s="460"/>
      <c r="S48" s="460"/>
      <c r="T48" s="158"/>
    </row>
    <row r="49" spans="1:20" ht="12.75" customHeight="1" x14ac:dyDescent="0.3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59"/>
      <c r="N49" s="459"/>
      <c r="O49" s="460"/>
      <c r="P49" s="460"/>
      <c r="Q49" s="460"/>
      <c r="R49" s="460"/>
      <c r="S49" s="460"/>
      <c r="T49" s="158"/>
    </row>
    <row r="50" spans="1:20" ht="12.75" customHeight="1" x14ac:dyDescent="0.3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59"/>
      <c r="N50" s="459"/>
      <c r="O50" s="460"/>
      <c r="P50" s="460"/>
      <c r="Q50" s="460"/>
      <c r="R50" s="460"/>
      <c r="S50" s="460"/>
      <c r="T50" s="158"/>
    </row>
    <row r="51" spans="1:20" ht="12.75" customHeight="1" x14ac:dyDescent="0.3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59"/>
      <c r="N51" s="459"/>
      <c r="O51" s="460"/>
      <c r="P51" s="460"/>
      <c r="Q51" s="460"/>
      <c r="R51" s="460"/>
      <c r="S51" s="460"/>
      <c r="T51" s="158"/>
    </row>
    <row r="52" spans="1:20" ht="12.75" customHeight="1" x14ac:dyDescent="0.3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59"/>
      <c r="N52" s="459"/>
      <c r="O52" s="460"/>
      <c r="P52" s="460"/>
      <c r="Q52" s="460"/>
      <c r="R52" s="460"/>
      <c r="S52" s="460"/>
      <c r="T52" s="158"/>
    </row>
    <row r="53" spans="1:20" ht="12.75" customHeight="1" x14ac:dyDescent="0.3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59"/>
      <c r="N53" s="459"/>
      <c r="O53" s="460"/>
      <c r="P53" s="460"/>
      <c r="Q53" s="460"/>
      <c r="R53" s="460"/>
      <c r="S53" s="460"/>
      <c r="T53" s="158"/>
    </row>
    <row r="54" spans="1:20" ht="12.75" customHeight="1" x14ac:dyDescent="0.3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59"/>
      <c r="N54" s="459"/>
      <c r="O54" s="460"/>
      <c r="P54" s="460"/>
      <c r="Q54" s="460"/>
      <c r="R54" s="460"/>
      <c r="S54" s="460"/>
      <c r="T54" s="158"/>
    </row>
    <row r="55" spans="1:20" ht="12.75" customHeight="1" x14ac:dyDescent="0.3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59"/>
      <c r="N55" s="459"/>
      <c r="O55" s="460"/>
      <c r="P55" s="460"/>
      <c r="Q55" s="460"/>
      <c r="R55" s="460"/>
      <c r="S55" s="460"/>
      <c r="T55" s="158"/>
    </row>
    <row r="56" spans="1:20" ht="12.75" customHeight="1" x14ac:dyDescent="0.3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59"/>
      <c r="N56" s="459"/>
      <c r="O56" s="460"/>
      <c r="P56" s="460"/>
      <c r="Q56" s="460"/>
      <c r="R56" s="460"/>
      <c r="S56" s="460"/>
      <c r="T56" s="158"/>
    </row>
    <row r="57" spans="1:20" ht="12.75" customHeight="1" x14ac:dyDescent="0.3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59"/>
      <c r="N57" s="459"/>
      <c r="O57" s="460"/>
      <c r="P57" s="460"/>
      <c r="Q57" s="460"/>
      <c r="R57" s="460"/>
      <c r="S57" s="460"/>
      <c r="T57" s="158"/>
    </row>
    <row r="58" spans="1:20" ht="12.75" customHeight="1" x14ac:dyDescent="0.3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59"/>
      <c r="N58" s="459"/>
      <c r="O58" s="460"/>
      <c r="P58" s="460"/>
      <c r="Q58" s="460"/>
      <c r="R58" s="460"/>
      <c r="S58" s="460"/>
      <c r="T58" s="158"/>
    </row>
    <row r="59" spans="1:20" ht="12.75" customHeight="1" x14ac:dyDescent="0.3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59"/>
      <c r="N59" s="459"/>
      <c r="O59" s="460"/>
      <c r="P59" s="460"/>
      <c r="Q59" s="460"/>
      <c r="R59" s="460"/>
      <c r="S59" s="460"/>
      <c r="T59" s="158"/>
    </row>
    <row r="60" spans="1:20" ht="12.75" customHeight="1" x14ac:dyDescent="0.3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59"/>
      <c r="N60" s="459"/>
      <c r="O60" s="460"/>
      <c r="P60" s="460"/>
      <c r="Q60" s="460"/>
      <c r="R60" s="460"/>
      <c r="S60" s="460"/>
      <c r="T60" s="158"/>
    </row>
    <row r="61" spans="1:20" ht="12.75" customHeight="1" x14ac:dyDescent="0.3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59"/>
      <c r="N61" s="459"/>
      <c r="O61" s="460"/>
      <c r="P61" s="460"/>
      <c r="Q61" s="460"/>
      <c r="R61" s="460"/>
      <c r="S61" s="460"/>
      <c r="T61" s="158"/>
    </row>
    <row r="62" spans="1:20" ht="12.75" customHeight="1" x14ac:dyDescent="0.3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59"/>
      <c r="N62" s="459"/>
      <c r="O62" s="460"/>
      <c r="P62" s="460"/>
      <c r="Q62" s="460"/>
      <c r="R62" s="460"/>
      <c r="S62" s="460"/>
      <c r="T62" s="158"/>
    </row>
    <row r="63" spans="1:20" ht="12.75" customHeight="1" x14ac:dyDescent="0.3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59"/>
      <c r="N63" s="459"/>
      <c r="O63" s="460"/>
      <c r="P63" s="460"/>
      <c r="Q63" s="460"/>
      <c r="R63" s="460"/>
      <c r="S63" s="460"/>
      <c r="T63" s="158"/>
    </row>
    <row r="64" spans="1:20" ht="12.75" customHeight="1" x14ac:dyDescent="0.3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59"/>
      <c r="N64" s="459"/>
      <c r="O64" s="460"/>
      <c r="P64" s="460"/>
      <c r="Q64" s="460"/>
      <c r="R64" s="460"/>
      <c r="S64" s="460"/>
      <c r="T64" s="158"/>
    </row>
    <row r="65" spans="1:27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59"/>
      <c r="N65" s="459"/>
      <c r="O65" s="460"/>
      <c r="P65" s="460"/>
      <c r="Q65" s="460"/>
      <c r="R65" s="460"/>
      <c r="S65" s="460"/>
      <c r="T65" s="158"/>
    </row>
    <row r="66" spans="1:27" ht="12.75" customHeight="1" x14ac:dyDescent="0.3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>
        <v>0.74199999999999999</v>
      </c>
      <c r="M66" s="451"/>
      <c r="N66" s="451"/>
      <c r="O66" s="452"/>
      <c r="P66" s="452"/>
      <c r="Q66" s="452"/>
      <c r="R66" s="452"/>
      <c r="S66" s="452"/>
      <c r="T66" s="158"/>
    </row>
    <row r="67" spans="1:27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1"/>
      <c r="N67" s="451"/>
      <c r="O67" s="452"/>
      <c r="P67" s="452"/>
      <c r="Q67" s="452"/>
      <c r="R67" s="452"/>
      <c r="S67" s="452"/>
      <c r="T67" s="158"/>
    </row>
    <row r="68" spans="1:27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1"/>
      <c r="N68" s="451"/>
      <c r="O68" s="452"/>
      <c r="P68" s="452"/>
      <c r="Q68" s="452"/>
      <c r="R68" s="452"/>
      <c r="S68" s="452"/>
      <c r="T68" s="158"/>
    </row>
    <row r="69" spans="1:27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1"/>
      <c r="N69" s="451"/>
      <c r="O69" s="452"/>
      <c r="P69" s="452"/>
      <c r="Q69" s="452"/>
      <c r="R69" s="452"/>
      <c r="S69" s="452"/>
      <c r="T69" s="158"/>
    </row>
    <row r="70" spans="1:27" ht="12.75" customHeight="1" x14ac:dyDescent="0.3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1"/>
      <c r="N70" s="451"/>
      <c r="O70" s="452"/>
      <c r="P70" s="452"/>
      <c r="Q70" s="452"/>
      <c r="R70" s="452"/>
      <c r="S70" s="452"/>
      <c r="T70" s="158"/>
    </row>
    <row r="71" spans="1:27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1"/>
      <c r="N71" s="451"/>
      <c r="O71" s="452"/>
      <c r="P71" s="452"/>
      <c r="Q71" s="452"/>
      <c r="R71" s="452"/>
      <c r="S71" s="452"/>
      <c r="T71" s="158"/>
    </row>
    <row r="72" spans="1:27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1"/>
      <c r="N72" s="451"/>
      <c r="O72" s="452"/>
      <c r="P72" s="452"/>
      <c r="Q72" s="452"/>
      <c r="R72" s="452"/>
      <c r="S72" s="452"/>
      <c r="T72" s="158"/>
    </row>
    <row r="73" spans="1:27" ht="12.75" customHeight="1" x14ac:dyDescent="0.3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1"/>
      <c r="N73" s="451"/>
      <c r="O73" s="452"/>
      <c r="P73" s="452"/>
      <c r="Q73" s="452"/>
      <c r="R73" s="452"/>
      <c r="S73" s="452"/>
      <c r="T73" s="158"/>
    </row>
    <row r="74" spans="1:27" ht="12.75" customHeight="1" x14ac:dyDescent="0.3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>
        <v>0.23799999999999999</v>
      </c>
      <c r="M74" s="451"/>
      <c r="N74" s="451"/>
      <c r="O74" s="452"/>
      <c r="P74" s="452"/>
      <c r="Q74" s="452"/>
      <c r="R74" s="452"/>
      <c r="S74" s="452"/>
      <c r="T74" s="158"/>
    </row>
    <row r="75" spans="1:27" ht="12.75" customHeight="1" x14ac:dyDescent="0.3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>
        <v>0.17</v>
      </c>
      <c r="M75" s="451"/>
      <c r="N75" s="451"/>
      <c r="O75" s="452"/>
      <c r="P75" s="452"/>
      <c r="Q75" s="452"/>
      <c r="R75" s="452"/>
      <c r="S75" s="452"/>
      <c r="T75" s="158"/>
    </row>
    <row r="76" spans="1:27" ht="12.75" customHeight="1" x14ac:dyDescent="0.3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42"/>
      <c r="N76" s="342"/>
      <c r="O76" s="360"/>
      <c r="P76" s="360"/>
      <c r="Q76" s="360"/>
      <c r="R76" s="360"/>
      <c r="S76" s="360"/>
      <c r="T76" s="158"/>
    </row>
    <row r="77" spans="1:27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 t="s">
        <v>754</v>
      </c>
      <c r="M77" s="614"/>
      <c r="N77" s="614"/>
      <c r="O77" s="614"/>
      <c r="P77" s="614"/>
      <c r="Q77" s="614"/>
      <c r="R77" s="614"/>
      <c r="S77" s="614"/>
      <c r="T77" s="615"/>
      <c r="U77" s="540"/>
      <c r="V77" s="540"/>
      <c r="W77" s="540"/>
      <c r="X77" s="540"/>
      <c r="Y77" s="540"/>
      <c r="Z77" s="540"/>
      <c r="AA77" s="540"/>
    </row>
    <row r="78" spans="1:27" ht="12.75" customHeight="1" x14ac:dyDescent="0.3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0"/>
      <c r="N78" s="320"/>
      <c r="O78" s="325"/>
      <c r="P78" s="325"/>
      <c r="Q78" s="325"/>
      <c r="R78" s="325"/>
      <c r="S78" s="325"/>
      <c r="T78" s="158"/>
    </row>
    <row r="79" spans="1:27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0"/>
      <c r="N79" s="320"/>
      <c r="O79" s="325"/>
      <c r="P79" s="325"/>
      <c r="Q79" s="325"/>
      <c r="R79" s="325"/>
      <c r="S79" s="325"/>
      <c r="T79" s="158"/>
    </row>
    <row r="80" spans="1:27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1"/>
      <c r="N80" s="451"/>
      <c r="O80" s="452"/>
      <c r="P80" s="452"/>
      <c r="Q80" s="452"/>
      <c r="R80" s="452"/>
      <c r="S80" s="452"/>
      <c r="T80" s="158"/>
    </row>
    <row r="81" spans="1:20" ht="12.75" customHeight="1" x14ac:dyDescent="0.3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1"/>
      <c r="N81" s="451"/>
      <c r="O81" s="452"/>
      <c r="P81" s="452"/>
      <c r="Q81" s="452"/>
      <c r="R81" s="452"/>
      <c r="S81" s="452"/>
      <c r="T81" s="158"/>
    </row>
    <row r="82" spans="1:20" ht="12.75" customHeight="1" x14ac:dyDescent="0.3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1"/>
      <c r="N82" s="451"/>
      <c r="O82" s="452"/>
      <c r="P82" s="452"/>
      <c r="Q82" s="452"/>
      <c r="R82" s="452"/>
      <c r="S82" s="452"/>
      <c r="T82" s="158"/>
    </row>
    <row r="83" spans="1:20" ht="12.75" customHeight="1" x14ac:dyDescent="0.3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1"/>
      <c r="N83" s="451"/>
      <c r="O83" s="452"/>
      <c r="P83" s="452"/>
      <c r="Q83" s="452"/>
      <c r="R83" s="452"/>
      <c r="S83" s="452"/>
      <c r="T83" s="158"/>
    </row>
    <row r="84" spans="1:20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1"/>
      <c r="N84" s="451"/>
      <c r="O84" s="452"/>
      <c r="P84" s="452"/>
      <c r="Q84" s="452"/>
      <c r="R84" s="452"/>
      <c r="S84" s="452"/>
      <c r="T84" s="158"/>
    </row>
    <row r="85" spans="1:20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1"/>
      <c r="N85" s="451"/>
      <c r="O85" s="452"/>
      <c r="P85" s="452"/>
      <c r="Q85" s="452"/>
      <c r="R85" s="452"/>
      <c r="S85" s="452"/>
      <c r="T85" s="158"/>
    </row>
    <row r="86" spans="1:20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1"/>
      <c r="N86" s="451"/>
      <c r="O86" s="452"/>
      <c r="P86" s="452"/>
      <c r="Q86" s="452"/>
      <c r="R86" s="452"/>
      <c r="S86" s="452"/>
      <c r="T86" s="158"/>
    </row>
    <row r="87" spans="1:20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53"/>
      <c r="N87" s="353"/>
      <c r="O87" s="318"/>
      <c r="P87" s="318"/>
      <c r="Q87" s="318"/>
      <c r="R87" s="318"/>
      <c r="S87" s="318"/>
      <c r="T87" s="158"/>
    </row>
    <row r="88" spans="1:20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1"/>
      <c r="N88" s="451"/>
      <c r="O88" s="452"/>
      <c r="P88" s="452"/>
      <c r="Q88" s="452"/>
      <c r="R88" s="452"/>
      <c r="S88" s="452"/>
      <c r="T88" s="158"/>
    </row>
    <row r="89" spans="1:20" ht="12.75" customHeight="1" x14ac:dyDescent="0.3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1"/>
      <c r="N89" s="451"/>
      <c r="O89" s="452"/>
      <c r="P89" s="452"/>
      <c r="Q89" s="452"/>
      <c r="R89" s="452"/>
      <c r="S89" s="452"/>
      <c r="T89" s="158"/>
    </row>
    <row r="90" spans="1:20" ht="12.75" customHeight="1" x14ac:dyDescent="0.3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1"/>
      <c r="N90" s="451"/>
      <c r="O90" s="452"/>
      <c r="P90" s="452"/>
      <c r="Q90" s="452"/>
      <c r="R90" s="452"/>
      <c r="S90" s="452"/>
      <c r="T90" s="158"/>
    </row>
    <row r="91" spans="1:20" ht="12.75" customHeight="1" x14ac:dyDescent="0.3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1"/>
      <c r="N91" s="451"/>
      <c r="O91" s="452"/>
      <c r="P91" s="452"/>
      <c r="Q91" s="452"/>
      <c r="R91" s="452"/>
      <c r="S91" s="452"/>
      <c r="T91" s="158"/>
    </row>
    <row r="92" spans="1:20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1"/>
      <c r="N92" s="451"/>
      <c r="O92" s="452"/>
      <c r="P92" s="452"/>
      <c r="Q92" s="452"/>
      <c r="R92" s="452"/>
      <c r="S92" s="452"/>
      <c r="T92" s="158"/>
    </row>
    <row r="93" spans="1:20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1"/>
      <c r="N93" s="451"/>
      <c r="O93" s="452"/>
      <c r="P93" s="452"/>
      <c r="Q93" s="452"/>
      <c r="R93" s="452"/>
      <c r="S93" s="452"/>
      <c r="T93" s="158"/>
    </row>
    <row r="94" spans="1:20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1"/>
      <c r="N94" s="451"/>
      <c r="O94" s="452"/>
      <c r="P94" s="452"/>
      <c r="Q94" s="452"/>
      <c r="R94" s="452"/>
      <c r="S94" s="452"/>
      <c r="T94" s="158"/>
    </row>
    <row r="95" spans="1:20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0"/>
      <c r="N95" s="320"/>
      <c r="O95" s="325"/>
      <c r="P95" s="325"/>
      <c r="Q95" s="325"/>
      <c r="R95" s="325"/>
      <c r="S95" s="325"/>
      <c r="T95" s="158"/>
    </row>
    <row r="96" spans="1:20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1"/>
      <c r="N96" s="451"/>
      <c r="O96" s="452"/>
      <c r="P96" s="452"/>
      <c r="Q96" s="452"/>
      <c r="R96" s="452"/>
      <c r="S96" s="452"/>
      <c r="T96" s="158"/>
    </row>
    <row r="97" spans="1:20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1"/>
      <c r="N97" s="451"/>
      <c r="O97" s="452"/>
      <c r="P97" s="452"/>
      <c r="Q97" s="452"/>
      <c r="R97" s="452"/>
      <c r="S97" s="452"/>
      <c r="T97" s="158"/>
    </row>
    <row r="98" spans="1:20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1"/>
      <c r="N98" s="451"/>
      <c r="O98" s="452"/>
      <c r="P98" s="452"/>
      <c r="Q98" s="452"/>
      <c r="R98" s="452"/>
      <c r="S98" s="452"/>
      <c r="T98" s="158"/>
    </row>
    <row r="99" spans="1:20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0"/>
      <c r="N99" s="320"/>
      <c r="O99" s="325"/>
      <c r="P99" s="325"/>
      <c r="Q99" s="325"/>
      <c r="R99" s="325"/>
      <c r="S99" s="325"/>
      <c r="T99" s="158"/>
    </row>
    <row r="100" spans="1:20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1"/>
      <c r="N100" s="451"/>
      <c r="O100" s="452"/>
      <c r="P100" s="452"/>
      <c r="Q100" s="452"/>
      <c r="R100" s="452"/>
      <c r="S100" s="452"/>
      <c r="T100" s="158"/>
    </row>
    <row r="101" spans="1:20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1"/>
      <c r="N101" s="451"/>
      <c r="O101" s="452"/>
      <c r="P101" s="452"/>
      <c r="Q101" s="452"/>
      <c r="R101" s="452"/>
      <c r="S101" s="452"/>
      <c r="T101" s="158"/>
    </row>
    <row r="102" spans="1:20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1"/>
      <c r="N102" s="451"/>
      <c r="O102" s="452"/>
      <c r="P102" s="452"/>
      <c r="Q102" s="452"/>
      <c r="R102" s="452"/>
      <c r="S102" s="452"/>
      <c r="T102" s="158"/>
    </row>
    <row r="103" spans="1:20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0"/>
      <c r="N103" s="320"/>
      <c r="O103" s="325"/>
      <c r="P103" s="325"/>
      <c r="Q103" s="325"/>
      <c r="R103" s="325"/>
      <c r="S103" s="325"/>
      <c r="T103" s="158"/>
    </row>
    <row r="104" spans="1:20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1"/>
      <c r="N104" s="451"/>
      <c r="O104" s="452"/>
      <c r="P104" s="452"/>
      <c r="Q104" s="452"/>
      <c r="R104" s="452"/>
      <c r="S104" s="452"/>
      <c r="T104" s="158"/>
    </row>
    <row r="105" spans="1:20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1"/>
      <c r="N105" s="451"/>
      <c r="O105" s="452"/>
      <c r="P105" s="452"/>
      <c r="Q105" s="452"/>
      <c r="R105" s="452"/>
      <c r="S105" s="452"/>
      <c r="T105" s="158"/>
    </row>
    <row r="106" spans="1:20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1"/>
      <c r="N106" s="451"/>
      <c r="O106" s="452"/>
      <c r="P106" s="452"/>
      <c r="Q106" s="452"/>
      <c r="R106" s="452"/>
      <c r="S106" s="452"/>
      <c r="T106" s="158"/>
    </row>
    <row r="107" spans="1:20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0"/>
      <c r="N107" s="320"/>
      <c r="O107" s="325"/>
      <c r="P107" s="325"/>
      <c r="Q107" s="325"/>
      <c r="R107" s="325"/>
      <c r="S107" s="325"/>
      <c r="T107" s="158"/>
    </row>
    <row r="108" spans="1:20" ht="12.75" customHeight="1" x14ac:dyDescent="0.3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364" t="s">
        <v>754</v>
      </c>
      <c r="M108" s="364"/>
      <c r="N108" s="461"/>
      <c r="O108" s="462"/>
      <c r="P108" s="462"/>
      <c r="Q108" s="462"/>
      <c r="R108" s="462"/>
      <c r="S108" s="462"/>
      <c r="T108" s="158"/>
    </row>
    <row r="109" spans="1:20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0"/>
      <c r="N109" s="320"/>
      <c r="O109" s="325"/>
      <c r="P109" s="325"/>
      <c r="Q109" s="325"/>
      <c r="R109" s="325"/>
      <c r="S109" s="325"/>
      <c r="T109" s="158"/>
    </row>
    <row r="110" spans="1:20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339"/>
      <c r="N110" s="339"/>
      <c r="O110" s="282"/>
      <c r="P110" s="282"/>
      <c r="Q110" s="282"/>
      <c r="R110" s="282"/>
      <c r="S110" s="282"/>
      <c r="T110" s="158"/>
    </row>
    <row r="111" spans="1:20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1"/>
      <c r="N111" s="451"/>
      <c r="O111" s="452"/>
      <c r="P111" s="452"/>
      <c r="Q111" s="452"/>
      <c r="R111" s="452"/>
      <c r="S111" s="452"/>
      <c r="T111" s="158"/>
    </row>
    <row r="112" spans="1:20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1"/>
      <c r="N112" s="451"/>
      <c r="O112" s="452"/>
      <c r="P112" s="452"/>
      <c r="Q112" s="452"/>
      <c r="R112" s="452"/>
      <c r="S112" s="452"/>
      <c r="T112" s="158"/>
    </row>
    <row r="113" spans="1:20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/>
      <c r="M113" s="451"/>
      <c r="N113" s="451">
        <v>9.9999999999999995E-21</v>
      </c>
      <c r="O113" s="452"/>
      <c r="P113" s="452">
        <v>9.9999999999999995E-21</v>
      </c>
      <c r="Q113" s="452">
        <v>9.9999999999999995E-21</v>
      </c>
      <c r="R113" s="452">
        <v>9.9999999999999995E-21</v>
      </c>
      <c r="S113" s="452">
        <v>9.9999999999999995E-21</v>
      </c>
      <c r="T113" s="158"/>
    </row>
    <row r="114" spans="1:20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/>
      <c r="M114" s="451"/>
      <c r="N114" s="451">
        <v>0.03</v>
      </c>
      <c r="O114" s="452"/>
      <c r="P114" s="452">
        <v>0.03</v>
      </c>
      <c r="Q114" s="452">
        <v>0.03</v>
      </c>
      <c r="R114" s="452">
        <v>0.03</v>
      </c>
      <c r="S114" s="452">
        <v>0.03</v>
      </c>
      <c r="T114" s="158"/>
    </row>
    <row r="115" spans="1:20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1"/>
      <c r="N115" s="451"/>
      <c r="O115" s="452"/>
      <c r="P115" s="452"/>
      <c r="Q115" s="452"/>
      <c r="R115" s="452"/>
      <c r="S115" s="452"/>
      <c r="T115" s="158"/>
    </row>
    <row r="116" spans="1:20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1"/>
      <c r="N116" s="451"/>
      <c r="O116" s="452"/>
      <c r="P116" s="452"/>
      <c r="Q116" s="452"/>
      <c r="R116" s="452"/>
      <c r="S116" s="452"/>
      <c r="T116" s="158"/>
    </row>
    <row r="117" spans="1:20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1"/>
      <c r="N117" s="451"/>
      <c r="O117" s="452"/>
      <c r="P117" s="452"/>
      <c r="Q117" s="452"/>
      <c r="R117" s="452"/>
      <c r="S117" s="452"/>
      <c r="T117" s="158"/>
    </row>
    <row r="118" spans="1:20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1"/>
      <c r="N118" s="451"/>
      <c r="O118" s="452"/>
      <c r="P118" s="452"/>
      <c r="Q118" s="452"/>
      <c r="R118" s="452"/>
      <c r="S118" s="452"/>
      <c r="T118" s="158"/>
    </row>
    <row r="119" spans="1:20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1"/>
      <c r="N119" s="451"/>
      <c r="O119" s="452"/>
      <c r="P119" s="452"/>
      <c r="Q119" s="452"/>
      <c r="R119" s="452"/>
      <c r="S119" s="452"/>
      <c r="T119" s="158"/>
    </row>
    <row r="120" spans="1:20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1"/>
      <c r="N120" s="451"/>
      <c r="O120" s="452"/>
      <c r="P120" s="452"/>
      <c r="Q120" s="452"/>
      <c r="R120" s="452"/>
      <c r="S120" s="452"/>
      <c r="T120" s="158"/>
    </row>
    <row r="121" spans="1:20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1"/>
      <c r="N121" s="451"/>
      <c r="O121" s="452"/>
      <c r="P121" s="452"/>
      <c r="Q121" s="452"/>
      <c r="R121" s="452"/>
      <c r="S121" s="452"/>
      <c r="T121" s="158"/>
    </row>
    <row r="122" spans="1:20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1"/>
      <c r="N122" s="451"/>
      <c r="O122" s="452"/>
      <c r="P122" s="452"/>
      <c r="Q122" s="452"/>
      <c r="R122" s="452"/>
      <c r="S122" s="452"/>
      <c r="T122" s="158"/>
    </row>
    <row r="123" spans="1:20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1"/>
      <c r="N123" s="451"/>
      <c r="O123" s="452"/>
      <c r="P123" s="452"/>
      <c r="Q123" s="452"/>
      <c r="R123" s="452"/>
      <c r="S123" s="452"/>
      <c r="T123" s="158"/>
    </row>
    <row r="124" spans="1:20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1"/>
      <c r="N124" s="451"/>
      <c r="O124" s="452"/>
      <c r="P124" s="452"/>
      <c r="Q124" s="452"/>
      <c r="R124" s="452"/>
      <c r="S124" s="452"/>
      <c r="T124" s="158"/>
    </row>
    <row r="125" spans="1:20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1"/>
      <c r="N125" s="451"/>
      <c r="O125" s="452"/>
      <c r="P125" s="452"/>
      <c r="Q125" s="452"/>
      <c r="R125" s="452"/>
      <c r="S125" s="452"/>
      <c r="T125" s="158"/>
    </row>
    <row r="126" spans="1:20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1"/>
      <c r="N126" s="451"/>
      <c r="O126" s="452"/>
      <c r="P126" s="452"/>
      <c r="Q126" s="452"/>
      <c r="R126" s="452"/>
      <c r="S126" s="452"/>
      <c r="T126" s="158"/>
    </row>
    <row r="127" spans="1:20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339"/>
      <c r="N127" s="339"/>
      <c r="O127" s="452"/>
      <c r="P127" s="282"/>
      <c r="Q127" s="282"/>
      <c r="R127" s="282"/>
      <c r="S127" s="282"/>
      <c r="T127" s="158"/>
    </row>
    <row r="128" spans="1:20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29"/>
      <c r="N128" s="29"/>
      <c r="O128" s="452"/>
      <c r="P128" s="282"/>
      <c r="Q128" s="282"/>
      <c r="R128" s="282"/>
      <c r="S128" s="282"/>
      <c r="T128" s="158"/>
    </row>
    <row r="129" spans="1:20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1"/>
      <c r="N129" s="451"/>
      <c r="O129" s="452"/>
      <c r="P129" s="452"/>
      <c r="Q129" s="452"/>
      <c r="R129" s="452"/>
      <c r="S129" s="452"/>
      <c r="T129" s="158"/>
    </row>
    <row r="130" spans="1:20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1"/>
      <c r="N130" s="451"/>
      <c r="O130" s="452"/>
      <c r="P130" s="452"/>
      <c r="Q130" s="452"/>
      <c r="R130" s="452"/>
      <c r="S130" s="452"/>
      <c r="T130" s="158"/>
    </row>
    <row r="131" spans="1:20" ht="12.75" customHeight="1" x14ac:dyDescent="0.3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/>
      <c r="M131" s="451"/>
      <c r="N131" s="451">
        <v>9.9999999999999995E-21</v>
      </c>
      <c r="O131" s="452"/>
      <c r="P131" s="452">
        <v>9.9999999999999995E-21</v>
      </c>
      <c r="Q131" s="452">
        <v>9.9999999999999995E-21</v>
      </c>
      <c r="R131" s="452">
        <v>9.9999999999999995E-21</v>
      </c>
      <c r="S131" s="452">
        <v>9.9999999999999995E-21</v>
      </c>
      <c r="T131" s="158"/>
    </row>
    <row r="132" spans="1:20" ht="12.75" customHeight="1" x14ac:dyDescent="0.3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/>
      <c r="M132" s="451"/>
      <c r="N132" s="451">
        <v>0.03</v>
      </c>
      <c r="O132" s="452"/>
      <c r="P132" s="452">
        <v>0.03</v>
      </c>
      <c r="Q132" s="452">
        <v>0.03</v>
      </c>
      <c r="R132" s="452">
        <v>0.03</v>
      </c>
      <c r="S132" s="452">
        <v>0.03</v>
      </c>
      <c r="T132" s="158"/>
    </row>
    <row r="133" spans="1:20" ht="12.75" customHeight="1" x14ac:dyDescent="0.3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1"/>
      <c r="N133" s="451"/>
      <c r="O133" s="452"/>
      <c r="P133" s="452"/>
      <c r="Q133" s="452"/>
      <c r="R133" s="452"/>
      <c r="S133" s="452"/>
      <c r="T133" s="158"/>
    </row>
    <row r="134" spans="1:20" ht="12.75" customHeight="1" x14ac:dyDescent="0.3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1"/>
      <c r="N134" s="451"/>
      <c r="O134" s="452"/>
      <c r="P134" s="452"/>
      <c r="Q134" s="452"/>
      <c r="R134" s="452"/>
      <c r="S134" s="452"/>
      <c r="T134" s="158"/>
    </row>
    <row r="135" spans="1:20" ht="12.75" customHeight="1" x14ac:dyDescent="0.3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1"/>
      <c r="N135" s="451"/>
      <c r="O135" s="452"/>
      <c r="P135" s="452"/>
      <c r="Q135" s="452"/>
      <c r="R135" s="452"/>
      <c r="S135" s="452"/>
      <c r="T135" s="158"/>
    </row>
    <row r="136" spans="1:20" ht="12.75" customHeight="1" x14ac:dyDescent="0.3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1"/>
      <c r="N136" s="451"/>
      <c r="O136" s="452"/>
      <c r="P136" s="452"/>
      <c r="Q136" s="452"/>
      <c r="R136" s="452"/>
      <c r="S136" s="452"/>
      <c r="T136" s="158"/>
    </row>
    <row r="137" spans="1:20" ht="12.75" customHeight="1" x14ac:dyDescent="0.3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1"/>
      <c r="N137" s="451"/>
      <c r="O137" s="452"/>
      <c r="P137" s="452"/>
      <c r="Q137" s="452"/>
      <c r="R137" s="452"/>
      <c r="S137" s="452"/>
      <c r="T137" s="158"/>
    </row>
    <row r="138" spans="1:20" ht="12.75" customHeight="1" x14ac:dyDescent="0.3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1"/>
      <c r="N138" s="451"/>
      <c r="O138" s="452"/>
      <c r="P138" s="452"/>
      <c r="Q138" s="452"/>
      <c r="R138" s="452"/>
      <c r="S138" s="452"/>
      <c r="T138" s="158"/>
    </row>
    <row r="139" spans="1:20" ht="12.75" customHeight="1" x14ac:dyDescent="0.3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1"/>
      <c r="N139" s="451"/>
      <c r="O139" s="452"/>
      <c r="P139" s="452"/>
      <c r="Q139" s="452"/>
      <c r="R139" s="452"/>
      <c r="S139" s="452"/>
      <c r="T139" s="158"/>
    </row>
    <row r="140" spans="1:20" ht="12.75" customHeight="1" x14ac:dyDescent="0.3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1"/>
      <c r="N140" s="451"/>
      <c r="O140" s="452"/>
      <c r="P140" s="452"/>
      <c r="Q140" s="452"/>
      <c r="R140" s="452"/>
      <c r="S140" s="452"/>
      <c r="T140" s="158"/>
    </row>
    <row r="141" spans="1:20" ht="12.75" customHeight="1" x14ac:dyDescent="0.3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1"/>
      <c r="N141" s="451"/>
      <c r="O141" s="452"/>
      <c r="P141" s="452"/>
      <c r="Q141" s="452"/>
      <c r="R141" s="452"/>
      <c r="S141" s="452"/>
      <c r="T141" s="158"/>
    </row>
    <row r="142" spans="1:20" ht="12.75" customHeight="1" x14ac:dyDescent="0.3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1"/>
      <c r="N142" s="451"/>
      <c r="O142" s="452"/>
      <c r="P142" s="452"/>
      <c r="Q142" s="452"/>
      <c r="R142" s="452"/>
      <c r="S142" s="452"/>
      <c r="T142" s="158"/>
    </row>
    <row r="143" spans="1:20" ht="12.75" customHeight="1" x14ac:dyDescent="0.3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1"/>
      <c r="N143" s="451"/>
      <c r="O143" s="452"/>
      <c r="P143" s="452"/>
      <c r="Q143" s="452"/>
      <c r="R143" s="452"/>
      <c r="S143" s="452"/>
      <c r="T143" s="158"/>
    </row>
    <row r="144" spans="1:20" ht="12.75" customHeight="1" x14ac:dyDescent="0.3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1"/>
      <c r="N144" s="451"/>
      <c r="O144" s="452"/>
      <c r="P144" s="452"/>
      <c r="Q144" s="452"/>
      <c r="R144" s="452"/>
      <c r="S144" s="452"/>
      <c r="T144" s="158"/>
    </row>
    <row r="145" spans="1:20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339"/>
      <c r="N145" s="339"/>
      <c r="O145" s="282"/>
      <c r="P145" s="282"/>
      <c r="Q145" s="282"/>
      <c r="R145" s="282"/>
      <c r="S145" s="282"/>
      <c r="T145" s="158"/>
    </row>
    <row r="146" spans="1:20" ht="12.75" customHeight="1" x14ac:dyDescent="0.3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53"/>
      <c r="N146" s="353"/>
      <c r="O146" s="318"/>
      <c r="P146" s="318"/>
      <c r="Q146" s="318"/>
      <c r="R146" s="318"/>
      <c r="S146" s="318"/>
      <c r="T146" s="158"/>
    </row>
    <row r="147" spans="1:20" ht="12.75" customHeight="1" x14ac:dyDescent="0.3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1"/>
      <c r="N147" s="451"/>
      <c r="O147" s="452"/>
      <c r="P147" s="452"/>
      <c r="Q147" s="452"/>
      <c r="R147" s="452"/>
      <c r="S147" s="452"/>
      <c r="T147" s="158"/>
    </row>
    <row r="148" spans="1:20" ht="12.75" customHeight="1" x14ac:dyDescent="0.3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1"/>
      <c r="N148" s="451"/>
      <c r="O148" s="452"/>
      <c r="P148" s="452"/>
      <c r="Q148" s="452"/>
      <c r="R148" s="452"/>
      <c r="S148" s="452"/>
      <c r="T148" s="158"/>
    </row>
    <row r="149" spans="1:20" ht="12.75" customHeight="1" x14ac:dyDescent="0.3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1"/>
      <c r="N149" s="451"/>
      <c r="O149" s="452"/>
      <c r="P149" s="452"/>
      <c r="Q149" s="452"/>
      <c r="R149" s="452"/>
      <c r="S149" s="452"/>
      <c r="T149" s="158"/>
    </row>
    <row r="150" spans="1:20" ht="12.75" customHeight="1" x14ac:dyDescent="0.3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1"/>
      <c r="N150" s="451"/>
      <c r="O150" s="452"/>
      <c r="P150" s="452"/>
      <c r="Q150" s="452"/>
      <c r="R150" s="452"/>
      <c r="S150" s="452"/>
      <c r="T150" s="158"/>
    </row>
    <row r="151" spans="1:20" ht="12.75" customHeight="1" x14ac:dyDescent="0.3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1"/>
      <c r="N151" s="451"/>
      <c r="O151" s="452"/>
      <c r="P151" s="452"/>
      <c r="Q151" s="452"/>
      <c r="R151" s="452"/>
      <c r="S151" s="452"/>
      <c r="T151" s="158"/>
    </row>
    <row r="152" spans="1:20" ht="12.75" customHeight="1" x14ac:dyDescent="0.3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1"/>
      <c r="N152" s="451"/>
      <c r="O152" s="452"/>
      <c r="P152" s="452"/>
      <c r="Q152" s="452"/>
      <c r="R152" s="452"/>
      <c r="S152" s="452"/>
      <c r="T152" s="158"/>
    </row>
    <row r="153" spans="1:20" ht="12.75" customHeight="1" x14ac:dyDescent="0.3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1"/>
      <c r="N153" s="451"/>
      <c r="O153" s="452"/>
      <c r="P153" s="452"/>
      <c r="Q153" s="452"/>
      <c r="R153" s="452"/>
      <c r="S153" s="452"/>
      <c r="T153" s="158"/>
    </row>
    <row r="154" spans="1:20" ht="12.75" customHeight="1" x14ac:dyDescent="0.3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1"/>
      <c r="N154" s="451"/>
      <c r="O154" s="452"/>
      <c r="P154" s="452"/>
      <c r="Q154" s="452"/>
      <c r="R154" s="452"/>
      <c r="S154" s="452"/>
      <c r="T154" s="158"/>
    </row>
    <row r="155" spans="1:20" ht="12.75" customHeight="1" x14ac:dyDescent="0.3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1"/>
      <c r="N155" s="451"/>
      <c r="O155" s="452"/>
      <c r="P155" s="452"/>
      <c r="Q155" s="452"/>
      <c r="R155" s="452"/>
      <c r="S155" s="452"/>
      <c r="T155" s="158"/>
    </row>
    <row r="156" spans="1:20" ht="12.75" customHeight="1" x14ac:dyDescent="0.3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1"/>
      <c r="N156" s="451"/>
      <c r="O156" s="452"/>
      <c r="P156" s="452"/>
      <c r="Q156" s="452"/>
      <c r="R156" s="452"/>
      <c r="S156" s="452"/>
      <c r="T156" s="158"/>
    </row>
    <row r="157" spans="1:20" ht="12.75" customHeight="1" x14ac:dyDescent="0.3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1"/>
      <c r="N157" s="451"/>
      <c r="O157" s="452"/>
      <c r="P157" s="452"/>
      <c r="Q157" s="452"/>
      <c r="R157" s="452"/>
      <c r="S157" s="452"/>
      <c r="T157" s="158"/>
    </row>
    <row r="158" spans="1:20" ht="12.75" customHeight="1" x14ac:dyDescent="0.3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1"/>
      <c r="N158" s="451"/>
      <c r="O158" s="452"/>
      <c r="P158" s="452"/>
      <c r="Q158" s="452"/>
      <c r="R158" s="452"/>
      <c r="S158" s="452"/>
      <c r="T158" s="158"/>
    </row>
    <row r="159" spans="1:20" ht="12.75" customHeight="1" x14ac:dyDescent="0.3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322"/>
      <c r="N159" s="322"/>
      <c r="O159" s="463"/>
      <c r="P159" s="463"/>
      <c r="Q159" s="463"/>
      <c r="R159" s="463"/>
      <c r="S159" s="463"/>
      <c r="T159" s="158"/>
    </row>
    <row r="160" spans="1:20" ht="12.75" customHeight="1" x14ac:dyDescent="0.3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0"/>
      <c r="N160" s="320"/>
      <c r="O160" s="325"/>
      <c r="P160" s="325"/>
      <c r="Q160" s="325"/>
      <c r="R160" s="325"/>
      <c r="S160" s="325"/>
      <c r="T160" s="158"/>
    </row>
    <row r="161" spans="1:20" ht="12.75" customHeight="1" x14ac:dyDescent="0.3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0"/>
      <c r="N161" s="320"/>
      <c r="O161" s="325"/>
      <c r="P161" s="325"/>
      <c r="Q161" s="325"/>
      <c r="R161" s="325"/>
      <c r="S161" s="325"/>
      <c r="T161" s="158"/>
    </row>
    <row r="162" spans="1:20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0"/>
      <c r="N162" s="320"/>
      <c r="O162" s="325"/>
      <c r="P162" s="325"/>
      <c r="Q162" s="325"/>
      <c r="R162" s="325"/>
      <c r="S162" s="325"/>
      <c r="T162" s="158"/>
    </row>
    <row r="163" spans="1:20" ht="12.75" customHeight="1" x14ac:dyDescent="0.3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4"/>
      <c r="N163" s="464"/>
      <c r="O163" s="465"/>
      <c r="P163" s="465"/>
      <c r="Q163" s="465"/>
      <c r="R163" s="465"/>
      <c r="S163" s="465"/>
      <c r="T163" s="158"/>
    </row>
    <row r="164" spans="1:20" ht="12.75" customHeight="1" x14ac:dyDescent="0.3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6"/>
      <c r="N164" s="466"/>
      <c r="O164" s="467"/>
      <c r="P164" s="467"/>
      <c r="Q164" s="467"/>
      <c r="R164" s="467"/>
      <c r="S164" s="467"/>
      <c r="T164" s="158"/>
    </row>
    <row r="165" spans="1:20" ht="12.75" customHeight="1" x14ac:dyDescent="0.3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68"/>
      <c r="M165" s="468"/>
      <c r="N165" s="451"/>
      <c r="O165" s="452"/>
      <c r="P165" s="452"/>
      <c r="Q165" s="452"/>
      <c r="R165" s="452"/>
      <c r="S165" s="452"/>
      <c r="T165" s="158"/>
    </row>
    <row r="166" spans="1:20" ht="12.75" customHeight="1" x14ac:dyDescent="0.3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68"/>
      <c r="M166" s="468"/>
      <c r="N166" s="451"/>
      <c r="O166" s="452"/>
      <c r="P166" s="452"/>
      <c r="Q166" s="452"/>
      <c r="R166" s="452"/>
      <c r="S166" s="452"/>
      <c r="T166" s="158"/>
    </row>
    <row r="167" spans="1:20" ht="12.75" customHeight="1" x14ac:dyDescent="0.3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68"/>
      <c r="M167" s="468"/>
      <c r="N167" s="451"/>
      <c r="O167" s="452"/>
      <c r="P167" s="452"/>
      <c r="Q167" s="452"/>
      <c r="R167" s="452"/>
      <c r="S167" s="452"/>
      <c r="T167" s="158"/>
    </row>
    <row r="168" spans="1:20" ht="12.75" customHeight="1" x14ac:dyDescent="0.3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68"/>
      <c r="M168" s="468"/>
      <c r="N168" s="451"/>
      <c r="O168" s="452"/>
      <c r="P168" s="452"/>
      <c r="Q168" s="452"/>
      <c r="R168" s="452"/>
      <c r="S168" s="452"/>
      <c r="T168" s="158"/>
    </row>
    <row r="169" spans="1:20" ht="12.75" customHeight="1" x14ac:dyDescent="0.3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68"/>
      <c r="M169" s="468"/>
      <c r="N169" s="451"/>
      <c r="O169" s="452"/>
      <c r="P169" s="452"/>
      <c r="Q169" s="452"/>
      <c r="R169" s="452"/>
      <c r="S169" s="452"/>
      <c r="T169" s="158"/>
    </row>
    <row r="170" spans="1:20" ht="12.75" customHeight="1" x14ac:dyDescent="0.3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68"/>
      <c r="M170" s="468"/>
      <c r="N170" s="451"/>
      <c r="O170" s="452"/>
      <c r="P170" s="452"/>
      <c r="Q170" s="452"/>
      <c r="R170" s="452"/>
      <c r="S170" s="452"/>
      <c r="T170" s="158"/>
    </row>
    <row r="171" spans="1:20" ht="12.75" customHeight="1" x14ac:dyDescent="0.3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68"/>
      <c r="M171" s="468"/>
      <c r="N171" s="451"/>
      <c r="O171" s="452"/>
      <c r="P171" s="452"/>
      <c r="Q171" s="452"/>
      <c r="R171" s="452"/>
      <c r="S171" s="452"/>
      <c r="T171" s="158"/>
    </row>
    <row r="172" spans="1:20" ht="12.75" customHeight="1" x14ac:dyDescent="0.3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68"/>
      <c r="M172" s="468"/>
      <c r="N172" s="451"/>
      <c r="O172" s="452"/>
      <c r="P172" s="452"/>
      <c r="Q172" s="452"/>
      <c r="R172" s="452"/>
      <c r="S172" s="452"/>
      <c r="T172" s="158"/>
    </row>
    <row r="173" spans="1:20" ht="12.75" customHeight="1" x14ac:dyDescent="0.3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68"/>
      <c r="M173" s="468"/>
      <c r="N173" s="451"/>
      <c r="O173" s="452"/>
      <c r="P173" s="452"/>
      <c r="Q173" s="452"/>
      <c r="R173" s="452"/>
      <c r="S173" s="452"/>
      <c r="T173" s="158"/>
    </row>
    <row r="174" spans="1:20" ht="12.75" customHeight="1" x14ac:dyDescent="0.3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68"/>
      <c r="M174" s="468"/>
      <c r="N174" s="451"/>
      <c r="O174" s="452"/>
      <c r="P174" s="452"/>
      <c r="Q174" s="452"/>
      <c r="R174" s="452"/>
      <c r="S174" s="452"/>
      <c r="T174" s="158"/>
    </row>
    <row r="175" spans="1:20" ht="12.75" customHeight="1" x14ac:dyDescent="0.3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68"/>
      <c r="M175" s="468"/>
      <c r="N175" s="451"/>
      <c r="O175" s="452"/>
      <c r="P175" s="452"/>
      <c r="Q175" s="452"/>
      <c r="R175" s="452"/>
      <c r="S175" s="452"/>
      <c r="T175" s="158"/>
    </row>
    <row r="176" spans="1:20" ht="12.75" customHeight="1" x14ac:dyDescent="0.3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68"/>
      <c r="M176" s="468"/>
      <c r="N176" s="451"/>
      <c r="O176" s="452"/>
      <c r="P176" s="452"/>
      <c r="Q176" s="452"/>
      <c r="R176" s="452"/>
      <c r="S176" s="452"/>
      <c r="T176" s="158"/>
    </row>
    <row r="177" spans="1:20" ht="12.75" customHeight="1" x14ac:dyDescent="0.3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68"/>
      <c r="M177" s="468"/>
      <c r="N177" s="451"/>
      <c r="O177" s="452"/>
      <c r="P177" s="452"/>
      <c r="Q177" s="452"/>
      <c r="R177" s="452"/>
      <c r="S177" s="452"/>
      <c r="T177" s="158"/>
    </row>
    <row r="178" spans="1:20" ht="12.75" customHeight="1" x14ac:dyDescent="0.3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68"/>
      <c r="M178" s="468"/>
      <c r="N178" s="451"/>
      <c r="O178" s="452"/>
      <c r="P178" s="452"/>
      <c r="Q178" s="452"/>
      <c r="R178" s="452"/>
      <c r="S178" s="452"/>
      <c r="T178" s="158"/>
    </row>
    <row r="179" spans="1:20" ht="12.75" customHeight="1" x14ac:dyDescent="0.3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68"/>
      <c r="M179" s="468"/>
      <c r="N179" s="451"/>
      <c r="O179" s="452"/>
      <c r="P179" s="452"/>
      <c r="Q179" s="452"/>
      <c r="R179" s="452"/>
      <c r="S179" s="452"/>
      <c r="T179" s="158"/>
    </row>
    <row r="180" spans="1:20" ht="12.75" customHeight="1" x14ac:dyDescent="0.3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68"/>
      <c r="M180" s="468"/>
      <c r="N180" s="451"/>
      <c r="O180" s="452"/>
      <c r="P180" s="452"/>
      <c r="Q180" s="452"/>
      <c r="R180" s="452"/>
      <c r="S180" s="452"/>
      <c r="T180" s="158"/>
    </row>
    <row r="181" spans="1:20" ht="12.75" customHeight="1" x14ac:dyDescent="0.3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68"/>
      <c r="M181" s="468"/>
      <c r="N181" s="451"/>
      <c r="O181" s="452"/>
      <c r="P181" s="452"/>
      <c r="Q181" s="452"/>
      <c r="R181" s="452"/>
      <c r="S181" s="452"/>
      <c r="T181" s="158"/>
    </row>
    <row r="182" spans="1:20" ht="12.75" customHeight="1" x14ac:dyDescent="0.3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68"/>
      <c r="M182" s="468"/>
      <c r="N182" s="451"/>
      <c r="O182" s="452"/>
      <c r="P182" s="452"/>
      <c r="Q182" s="452"/>
      <c r="R182" s="452"/>
      <c r="S182" s="452"/>
      <c r="T182" s="158"/>
    </row>
    <row r="183" spans="1:20" ht="12.75" customHeight="1" x14ac:dyDescent="0.3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68"/>
      <c r="M183" s="468"/>
      <c r="N183" s="451"/>
      <c r="O183" s="452"/>
      <c r="P183" s="452"/>
      <c r="Q183" s="452"/>
      <c r="R183" s="452"/>
      <c r="S183" s="452"/>
      <c r="T183" s="158"/>
    </row>
    <row r="184" spans="1:20" ht="12.75" customHeight="1" x14ac:dyDescent="0.3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68"/>
      <c r="M184" s="468"/>
      <c r="N184" s="451"/>
      <c r="O184" s="452"/>
      <c r="P184" s="452"/>
      <c r="Q184" s="452"/>
      <c r="R184" s="452"/>
      <c r="S184" s="452"/>
      <c r="T184" s="158"/>
    </row>
    <row r="185" spans="1:20" ht="12.75" customHeight="1" x14ac:dyDescent="0.3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68"/>
      <c r="M185" s="468"/>
      <c r="N185" s="451"/>
      <c r="O185" s="452"/>
      <c r="P185" s="452"/>
      <c r="Q185" s="452"/>
      <c r="R185" s="452"/>
      <c r="S185" s="452"/>
      <c r="T185" s="158"/>
    </row>
    <row r="186" spans="1:20" ht="12.75" customHeight="1" x14ac:dyDescent="0.3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68"/>
      <c r="M186" s="468"/>
      <c r="N186" s="451"/>
      <c r="O186" s="452"/>
      <c r="P186" s="452"/>
      <c r="Q186" s="452"/>
      <c r="R186" s="452"/>
      <c r="S186" s="452"/>
      <c r="T186" s="158"/>
    </row>
    <row r="187" spans="1:20" ht="12.75" customHeight="1" x14ac:dyDescent="0.3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68"/>
      <c r="M187" s="468"/>
      <c r="N187" s="451"/>
      <c r="O187" s="452"/>
      <c r="P187" s="452"/>
      <c r="Q187" s="452"/>
      <c r="R187" s="452"/>
      <c r="S187" s="452"/>
      <c r="T187" s="158"/>
    </row>
    <row r="188" spans="1:20" ht="12.75" customHeight="1" x14ac:dyDescent="0.3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68"/>
      <c r="M188" s="468"/>
      <c r="N188" s="451"/>
      <c r="O188" s="452"/>
      <c r="P188" s="452"/>
      <c r="Q188" s="452"/>
      <c r="R188" s="452"/>
      <c r="S188" s="452"/>
      <c r="T188" s="158"/>
    </row>
    <row r="189" spans="1:20" ht="12.75" customHeight="1" x14ac:dyDescent="0.3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68"/>
      <c r="M189" s="468"/>
      <c r="N189" s="451"/>
      <c r="O189" s="452"/>
      <c r="P189" s="452"/>
      <c r="Q189" s="452"/>
      <c r="R189" s="452"/>
      <c r="S189" s="452"/>
      <c r="T189" s="158"/>
    </row>
    <row r="190" spans="1:20" ht="12.75" customHeight="1" x14ac:dyDescent="0.3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68"/>
      <c r="M190" s="468"/>
      <c r="N190" s="451">
        <v>4.9999999999999995E-11</v>
      </c>
      <c r="O190" s="452">
        <v>4.9999999999999995E-11</v>
      </c>
      <c r="P190" s="452">
        <v>4.9999999999999995E-11</v>
      </c>
      <c r="Q190" s="452">
        <v>4.9999999999999995E-11</v>
      </c>
      <c r="R190" s="452">
        <v>4.9999999999999995E-11</v>
      </c>
      <c r="S190" s="452"/>
      <c r="T190" s="158"/>
    </row>
    <row r="191" spans="1:20" ht="12.75" customHeight="1" x14ac:dyDescent="0.3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68"/>
      <c r="M191" s="468"/>
      <c r="N191" s="451">
        <v>9.9999999999999995E-21</v>
      </c>
      <c r="O191" s="452">
        <v>9.9999999999999995E-21</v>
      </c>
      <c r="P191" s="452">
        <v>9.9999999999999995E-21</v>
      </c>
      <c r="Q191" s="452">
        <v>9.9999999999999995E-21</v>
      </c>
      <c r="R191" s="452">
        <v>9.9999999999999995E-21</v>
      </c>
      <c r="S191" s="452"/>
      <c r="T191" s="158"/>
    </row>
    <row r="192" spans="1:20" ht="12.75" customHeight="1" x14ac:dyDescent="0.3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68"/>
      <c r="M192" s="468"/>
      <c r="N192" s="451"/>
      <c r="O192" s="452"/>
      <c r="P192" s="452"/>
      <c r="Q192" s="452"/>
      <c r="R192" s="452"/>
      <c r="S192" s="452"/>
      <c r="T192" s="158"/>
    </row>
    <row r="193" spans="1:20" ht="12.75" customHeight="1" x14ac:dyDescent="0.3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68"/>
      <c r="M193" s="468"/>
      <c r="N193" s="451"/>
      <c r="O193" s="452"/>
      <c r="P193" s="452"/>
      <c r="Q193" s="452"/>
      <c r="R193" s="452"/>
      <c r="S193" s="452"/>
      <c r="T193" s="158"/>
    </row>
    <row r="194" spans="1:20" ht="12.75" customHeight="1" x14ac:dyDescent="0.3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68"/>
      <c r="M194" s="468"/>
      <c r="N194" s="451"/>
      <c r="O194" s="452"/>
      <c r="P194" s="452"/>
      <c r="Q194" s="452"/>
      <c r="R194" s="452"/>
      <c r="S194" s="452"/>
      <c r="T194" s="158"/>
    </row>
    <row r="195" spans="1:20" ht="12.75" customHeight="1" x14ac:dyDescent="0.3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68"/>
      <c r="M195" s="468"/>
      <c r="N195" s="451"/>
      <c r="O195" s="452"/>
      <c r="P195" s="452"/>
      <c r="Q195" s="452"/>
      <c r="R195" s="452"/>
      <c r="S195" s="452"/>
      <c r="T195" s="158"/>
    </row>
    <row r="196" spans="1:20" ht="12.75" customHeight="1" x14ac:dyDescent="0.3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68"/>
      <c r="M196" s="468"/>
      <c r="N196" s="451"/>
      <c r="O196" s="452"/>
      <c r="P196" s="452"/>
      <c r="Q196" s="452"/>
      <c r="R196" s="452"/>
      <c r="S196" s="452"/>
      <c r="T196" s="158"/>
    </row>
    <row r="197" spans="1:20" ht="12.75" customHeight="1" x14ac:dyDescent="0.3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68"/>
      <c r="M197" s="468"/>
      <c r="N197" s="451"/>
      <c r="O197" s="452"/>
      <c r="P197" s="452"/>
      <c r="Q197" s="452"/>
      <c r="R197" s="452"/>
      <c r="S197" s="452"/>
      <c r="T197" s="158"/>
    </row>
    <row r="198" spans="1:20" ht="12.75" customHeight="1" x14ac:dyDescent="0.3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68"/>
      <c r="M198" s="468"/>
      <c r="N198" s="451"/>
      <c r="O198" s="452"/>
      <c r="P198" s="452"/>
      <c r="Q198" s="452"/>
      <c r="R198" s="452"/>
      <c r="S198" s="452"/>
      <c r="T198" s="158"/>
    </row>
    <row r="199" spans="1:20" ht="12.75" customHeight="1" x14ac:dyDescent="0.3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68"/>
      <c r="M199" s="468"/>
      <c r="N199" s="451"/>
      <c r="O199" s="452"/>
      <c r="P199" s="452"/>
      <c r="Q199" s="452"/>
      <c r="R199" s="452"/>
      <c r="S199" s="452"/>
      <c r="T199" s="158"/>
    </row>
    <row r="200" spans="1:20" ht="12.75" customHeight="1" x14ac:dyDescent="0.3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68"/>
      <c r="M200" s="468"/>
      <c r="N200" s="451"/>
      <c r="O200" s="452"/>
      <c r="P200" s="452"/>
      <c r="Q200" s="452"/>
      <c r="R200" s="452"/>
      <c r="S200" s="452"/>
      <c r="T200" s="158"/>
    </row>
    <row r="201" spans="1:20" ht="12.75" customHeight="1" x14ac:dyDescent="0.3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68"/>
      <c r="M201" s="468"/>
      <c r="N201" s="451"/>
      <c r="O201" s="452"/>
      <c r="P201" s="452"/>
      <c r="Q201" s="452"/>
      <c r="R201" s="452"/>
      <c r="S201" s="452"/>
      <c r="T201" s="158"/>
    </row>
    <row r="202" spans="1:20" ht="12.75" customHeight="1" x14ac:dyDescent="0.3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68"/>
      <c r="M202" s="468"/>
      <c r="N202" s="451"/>
      <c r="O202" s="452"/>
      <c r="P202" s="452"/>
      <c r="Q202" s="452"/>
      <c r="R202" s="452"/>
      <c r="S202" s="452"/>
      <c r="T202" s="158"/>
    </row>
    <row r="203" spans="1:20" ht="12.75" customHeight="1" x14ac:dyDescent="0.3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320"/>
      <c r="M203" s="320"/>
      <c r="N203" s="451"/>
      <c r="O203" s="325"/>
      <c r="P203" s="325"/>
      <c r="Q203" s="325"/>
      <c r="R203" s="325"/>
      <c r="S203" s="325"/>
      <c r="T203" s="158"/>
    </row>
    <row r="204" spans="1:20" ht="12.75" customHeight="1" x14ac:dyDescent="0.3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68"/>
      <c r="M204" s="468"/>
      <c r="N204" s="451"/>
      <c r="O204" s="452"/>
      <c r="P204" s="452"/>
      <c r="Q204" s="452"/>
      <c r="R204" s="452"/>
      <c r="S204" s="452"/>
      <c r="T204" s="158"/>
    </row>
    <row r="205" spans="1:20" ht="12.75" customHeight="1" x14ac:dyDescent="0.3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68"/>
      <c r="M205" s="468"/>
      <c r="N205" s="451"/>
      <c r="O205" s="452"/>
      <c r="P205" s="452"/>
      <c r="Q205" s="452"/>
      <c r="R205" s="452"/>
      <c r="S205" s="452"/>
      <c r="T205" s="158"/>
    </row>
    <row r="206" spans="1:20" ht="12.75" customHeight="1" x14ac:dyDescent="0.3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0"/>
      <c r="N206" s="320"/>
      <c r="O206" s="325"/>
      <c r="P206" s="325"/>
      <c r="Q206" s="325"/>
      <c r="R206" s="325"/>
      <c r="S206" s="325"/>
      <c r="T206" s="158"/>
    </row>
    <row r="207" spans="1:20" ht="12.75" customHeight="1" x14ac:dyDescent="0.3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68"/>
      <c r="M207" s="468"/>
      <c r="N207" s="451"/>
      <c r="O207" s="469"/>
      <c r="P207" s="469"/>
      <c r="Q207" s="469"/>
      <c r="R207" s="469"/>
      <c r="S207" s="469"/>
      <c r="T207" s="158"/>
    </row>
    <row r="208" spans="1:20" ht="12.75" customHeight="1" x14ac:dyDescent="0.3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68"/>
      <c r="M208" s="468"/>
      <c r="N208" s="451"/>
      <c r="O208" s="469"/>
      <c r="P208" s="469"/>
      <c r="Q208" s="469"/>
      <c r="R208" s="469"/>
      <c r="S208" s="469"/>
      <c r="T208" s="158"/>
    </row>
    <row r="209" spans="1:20" ht="12.75" customHeight="1" x14ac:dyDescent="0.3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68"/>
      <c r="M209" s="468"/>
      <c r="N209" s="451"/>
      <c r="O209" s="469"/>
      <c r="P209" s="469"/>
      <c r="Q209" s="469"/>
      <c r="R209" s="469"/>
      <c r="S209" s="469"/>
      <c r="T209" s="158"/>
    </row>
    <row r="210" spans="1:20" ht="12.75" customHeight="1" x14ac:dyDescent="0.3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68"/>
      <c r="M210" s="468"/>
      <c r="N210" s="451"/>
      <c r="O210" s="469"/>
      <c r="P210" s="469"/>
      <c r="Q210" s="469"/>
      <c r="R210" s="469"/>
      <c r="S210" s="469"/>
      <c r="T210" s="158"/>
    </row>
    <row r="211" spans="1:20" ht="12.75" customHeight="1" x14ac:dyDescent="0.3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68"/>
      <c r="M211" s="468"/>
      <c r="N211" s="451"/>
      <c r="O211" s="452"/>
      <c r="P211" s="452"/>
      <c r="Q211" s="452"/>
      <c r="R211" s="452"/>
      <c r="S211" s="452"/>
      <c r="T211" s="158"/>
    </row>
    <row r="212" spans="1:20" ht="12.75" customHeight="1" x14ac:dyDescent="0.3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68"/>
      <c r="M212" s="468"/>
      <c r="N212" s="451"/>
      <c r="O212" s="452"/>
      <c r="P212" s="452"/>
      <c r="Q212" s="452"/>
      <c r="R212" s="452"/>
      <c r="S212" s="452"/>
      <c r="T212" s="158"/>
    </row>
    <row r="213" spans="1:20" ht="12.75" customHeight="1" x14ac:dyDescent="0.3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68"/>
      <c r="M213" s="468"/>
      <c r="N213" s="451"/>
      <c r="O213" s="452"/>
      <c r="P213" s="452"/>
      <c r="Q213" s="452"/>
      <c r="R213" s="452"/>
      <c r="S213" s="452"/>
      <c r="T213" s="158"/>
    </row>
    <row r="214" spans="1:20" ht="12.75" customHeight="1" x14ac:dyDescent="0.3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68"/>
      <c r="M214" s="468"/>
      <c r="N214" s="451"/>
      <c r="O214" s="452"/>
      <c r="P214" s="452"/>
      <c r="Q214" s="452"/>
      <c r="R214" s="452"/>
      <c r="S214" s="452"/>
      <c r="T214" s="158"/>
    </row>
    <row r="215" spans="1:20" ht="12.75" customHeight="1" x14ac:dyDescent="0.3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68"/>
      <c r="M215" s="468"/>
      <c r="N215" s="451"/>
      <c r="O215" s="452"/>
      <c r="P215" s="452"/>
      <c r="Q215" s="452"/>
      <c r="R215" s="452"/>
      <c r="S215" s="452"/>
      <c r="T215" s="158"/>
    </row>
    <row r="216" spans="1:20" ht="12.75" customHeight="1" x14ac:dyDescent="0.3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68"/>
      <c r="M216" s="468"/>
      <c r="N216" s="451"/>
      <c r="O216" s="452"/>
      <c r="P216" s="452"/>
      <c r="Q216" s="452"/>
      <c r="R216" s="452"/>
      <c r="S216" s="452"/>
      <c r="T216" s="158"/>
    </row>
    <row r="217" spans="1:20" ht="12.75" customHeight="1" x14ac:dyDescent="0.3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339"/>
      <c r="N217" s="339"/>
      <c r="O217" s="282"/>
      <c r="P217" s="282"/>
      <c r="Q217" s="282"/>
      <c r="R217" s="282"/>
      <c r="S217" s="282"/>
      <c r="T217" s="158"/>
    </row>
    <row r="218" spans="1:20" ht="12.75" customHeight="1" x14ac:dyDescent="0.3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 t="s">
        <v>754</v>
      </c>
      <c r="M218" s="364"/>
      <c r="N218" s="364"/>
      <c r="O218" s="470"/>
      <c r="P218" s="470"/>
      <c r="Q218" s="470"/>
      <c r="R218" s="470"/>
      <c r="S218" s="470"/>
      <c r="T218" s="158"/>
    </row>
    <row r="219" spans="1:20" ht="12.75" customHeight="1" x14ac:dyDescent="0.3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0"/>
      <c r="N219" s="320"/>
      <c r="O219" s="325"/>
      <c r="P219" s="325"/>
      <c r="Q219" s="325"/>
      <c r="R219" s="325"/>
      <c r="S219" s="325"/>
      <c r="T219" s="158"/>
    </row>
    <row r="220" spans="1:20" ht="12.75" customHeight="1" x14ac:dyDescent="0.3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68"/>
      <c r="M220" s="468"/>
      <c r="N220" s="451">
        <f t="shared" ref="N220:R220" si="0">1-(0.00015*0.172)/((IF(Tm&gt;298,EXP(-6.79*(1-Tm/298))*Pvap25*EXP((H0vap/8.314)*(1/298-1/TEMP.R)),Pvap25*EXP((H0vap/8.314)*(1/298-1/TEMP.R))))+(0.00015*0.172))</f>
        <v>0.99997877209453978</v>
      </c>
      <c r="O220" s="452">
        <f t="shared" si="0"/>
        <v>0.99997877209453978</v>
      </c>
      <c r="P220" s="452">
        <f t="shared" si="0"/>
        <v>0.99997877209453978</v>
      </c>
      <c r="Q220" s="452">
        <f t="shared" si="0"/>
        <v>0.99997877209453978</v>
      </c>
      <c r="R220" s="452">
        <f t="shared" si="0"/>
        <v>0.99997877209453978</v>
      </c>
      <c r="S220" s="452"/>
      <c r="T220" s="158"/>
    </row>
    <row r="221" spans="1:20" ht="12.75" customHeight="1" x14ac:dyDescent="0.3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68"/>
      <c r="M221" s="468"/>
      <c r="N221" s="451"/>
      <c r="O221" s="452"/>
      <c r="P221" s="452"/>
      <c r="Q221" s="452"/>
      <c r="R221" s="452"/>
      <c r="S221" s="452"/>
      <c r="T221" s="158"/>
    </row>
    <row r="222" spans="1:20" ht="12.75" customHeight="1" x14ac:dyDescent="0.3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68"/>
      <c r="M222" s="468"/>
      <c r="N222" s="451">
        <f>(0.00015*0.172)/((IF(Tm&gt;298,EXP(-6.79*(1-Tm/298))*Pvap25*EXP((H0vap/8.314)*(1/298-1/TEMP.R)),Pvap25*EXP((H0vap/8.314)*(1/298-1/TEMP.R))))+(0.00015*0.172))</f>
        <v>2.1227905460237182E-5</v>
      </c>
      <c r="O222" s="452">
        <f>(0.00015*0.172)/((IF(Tm&gt;298,EXP(-6.79*(1-Tm/298))*Pvap25*EXP((H0vap/8.314)*(1/298-1/TEMP.R)),Pvap25*EXP((H0vap/8.314)*(1/298-1/TEMP.R))))+(0.00015*0.172))</f>
        <v>2.1227905460237182E-5</v>
      </c>
      <c r="P222" s="452">
        <f>(0.00015*0.172)/((IF(Tm&gt;298,EXP(-6.79*(1-Tm/298))*Pvap25*EXP((H0vap/8.314)*(1/298-1/TEMP.R)),Pvap25*EXP((H0vap/8.314)*(1/298-1/TEMP.R))))+(0.00015*0.172))</f>
        <v>2.1227905460237182E-5</v>
      </c>
      <c r="Q222" s="452">
        <f>(0.00015*0.172)/((IF(Tm&gt;298,EXP(-6.79*(1-Tm/298))*Pvap25*EXP((H0vap/8.314)*(1/298-1/TEMP.R)),Pvap25*EXP((H0vap/8.314)*(1/298-1/TEMP.R))))+(0.00015*0.172))</f>
        <v>2.1227905460237182E-5</v>
      </c>
      <c r="R222" s="452">
        <f>(0.00015*0.172)/((IF(Tm&gt;298,EXP(-6.79*(1-Tm/298))*Pvap25*EXP((H0vap/8.314)*(1/298-1/TEMP.R)),Pvap25*EXP((H0vap/8.314)*(1/298-1/TEMP.R))))+(0.00015*0.172))</f>
        <v>2.1227905460237182E-5</v>
      </c>
      <c r="S222" s="452"/>
      <c r="T222" s="158"/>
    </row>
    <row r="223" spans="1:20" ht="12.75" customHeight="1" x14ac:dyDescent="0.3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68"/>
      <c r="M223" s="468"/>
      <c r="N223" s="451"/>
      <c r="O223" s="452"/>
      <c r="P223" s="452"/>
      <c r="Q223" s="452"/>
      <c r="R223" s="452"/>
      <c r="S223" s="452"/>
      <c r="T223" s="158"/>
    </row>
    <row r="224" spans="1:20" ht="12.75" customHeight="1" x14ac:dyDescent="0.3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68"/>
      <c r="M224" s="468"/>
      <c r="N224" s="451"/>
      <c r="O224" s="452"/>
      <c r="P224" s="452"/>
      <c r="Q224" s="452"/>
      <c r="R224" s="452"/>
      <c r="S224" s="452"/>
      <c r="T224" s="158"/>
    </row>
    <row r="225" spans="1:20" ht="12.75" customHeight="1" x14ac:dyDescent="0.3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68"/>
      <c r="M225" s="468"/>
      <c r="N225" s="451"/>
      <c r="O225" s="452"/>
      <c r="P225" s="452"/>
      <c r="Q225" s="452"/>
      <c r="R225" s="452"/>
      <c r="S225" s="452"/>
      <c r="T225" s="158"/>
    </row>
    <row r="226" spans="1:20" ht="12.75" customHeight="1" x14ac:dyDescent="0.3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68"/>
      <c r="M226" s="468"/>
      <c r="N226" s="451">
        <f t="shared" ref="N226:R226" si="1">1/(1+Kp.susp0R*SUSP.w0R/1000+0.05*Kow*0.001/1000)</f>
        <v>0.99750533889795012</v>
      </c>
      <c r="O226" s="452">
        <f t="shared" si="1"/>
        <v>0.99750533889795012</v>
      </c>
      <c r="P226" s="452">
        <f t="shared" si="1"/>
        <v>0.99750533889795012</v>
      </c>
      <c r="Q226" s="452">
        <f t="shared" si="1"/>
        <v>0.99750533889795012</v>
      </c>
      <c r="R226" s="452">
        <f t="shared" si="1"/>
        <v>0.99750533889795012</v>
      </c>
      <c r="S226" s="452"/>
      <c r="T226" s="158"/>
    </row>
    <row r="227" spans="1:20" ht="12.75" customHeight="1" x14ac:dyDescent="0.3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68"/>
      <c r="M227" s="468"/>
      <c r="N227" s="451"/>
      <c r="O227" s="452"/>
      <c r="P227" s="452"/>
      <c r="Q227" s="452"/>
      <c r="R227" s="452"/>
      <c r="S227" s="452"/>
      <c r="T227" s="158"/>
    </row>
    <row r="228" spans="1:20" ht="12.75" customHeight="1" x14ac:dyDescent="0.3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68"/>
      <c r="M228" s="468"/>
      <c r="N228" s="451"/>
      <c r="O228" s="452"/>
      <c r="P228" s="452"/>
      <c r="Q228" s="452"/>
      <c r="R228" s="452"/>
      <c r="S228" s="452"/>
      <c r="T228" s="158"/>
    </row>
    <row r="229" spans="1:20" ht="12.75" customHeight="1" x14ac:dyDescent="0.3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68"/>
      <c r="M229" s="468"/>
      <c r="N229" s="451"/>
      <c r="O229" s="452"/>
      <c r="P229" s="452"/>
      <c r="Q229" s="452"/>
      <c r="R229" s="452"/>
      <c r="S229" s="452"/>
      <c r="T229" s="158"/>
    </row>
    <row r="230" spans="1:20" ht="12.75" customHeight="1" x14ac:dyDescent="0.3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68"/>
      <c r="M230" s="468"/>
      <c r="N230" s="451"/>
      <c r="O230" s="452"/>
      <c r="P230" s="452"/>
      <c r="Q230" s="452"/>
      <c r="R230" s="452"/>
      <c r="S230" s="452"/>
      <c r="T230" s="158"/>
    </row>
    <row r="231" spans="1:20" ht="12.75" customHeight="1" x14ac:dyDescent="0.3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68"/>
      <c r="M231" s="468"/>
      <c r="N231" s="451"/>
      <c r="O231" s="452"/>
      <c r="P231" s="452"/>
      <c r="Q231" s="452"/>
      <c r="R231" s="452"/>
      <c r="S231" s="452"/>
      <c r="T231" s="158"/>
    </row>
    <row r="232" spans="1:20" ht="12.75" customHeight="1" x14ac:dyDescent="0.3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68"/>
      <c r="M232" s="468"/>
      <c r="N232" s="451">
        <f t="shared" ref="N232:R232" si="2">1/(1+Kp.susp1R*SUSP.w1R/1000+0.05*Kow*0.001/1000)</f>
        <v>0.9302317793408359</v>
      </c>
      <c r="O232" s="452">
        <f t="shared" si="2"/>
        <v>0.9302317793408359</v>
      </c>
      <c r="P232" s="452">
        <f t="shared" si="2"/>
        <v>0.9302317793408359</v>
      </c>
      <c r="Q232" s="452">
        <f t="shared" si="2"/>
        <v>0.9302317793408359</v>
      </c>
      <c r="R232" s="452">
        <f t="shared" si="2"/>
        <v>0.9302317793408359</v>
      </c>
      <c r="S232" s="452"/>
      <c r="T232" s="158"/>
    </row>
    <row r="233" spans="1:20" ht="12.75" customHeight="1" x14ac:dyDescent="0.3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68"/>
      <c r="M233" s="468"/>
      <c r="N233" s="451"/>
      <c r="O233" s="452"/>
      <c r="P233" s="452"/>
      <c r="Q233" s="452"/>
      <c r="R233" s="452"/>
      <c r="S233" s="452"/>
      <c r="T233" s="158"/>
    </row>
    <row r="234" spans="1:20" ht="12.75" customHeight="1" x14ac:dyDescent="0.3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68"/>
      <c r="M234" s="468"/>
      <c r="N234" s="451"/>
      <c r="O234" s="452"/>
      <c r="P234" s="452"/>
      <c r="Q234" s="452"/>
      <c r="R234" s="452"/>
      <c r="S234" s="452"/>
      <c r="T234" s="158"/>
    </row>
    <row r="235" spans="1:20" ht="12.75" customHeight="1" x14ac:dyDescent="0.3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68"/>
      <c r="M235" s="468"/>
      <c r="N235" s="451"/>
      <c r="O235" s="452"/>
      <c r="P235" s="452"/>
      <c r="Q235" s="452"/>
      <c r="R235" s="452"/>
      <c r="S235" s="452"/>
      <c r="T235" s="158"/>
    </row>
    <row r="236" spans="1:20" ht="12.75" customHeight="1" x14ac:dyDescent="0.3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68"/>
      <c r="M236" s="468"/>
      <c r="N236" s="451"/>
      <c r="O236" s="452"/>
      <c r="P236" s="452"/>
      <c r="Q236" s="452"/>
      <c r="R236" s="452"/>
      <c r="S236" s="452"/>
      <c r="T236" s="158"/>
    </row>
    <row r="237" spans="1:20" ht="12.75" customHeight="1" x14ac:dyDescent="0.3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68"/>
      <c r="M237" s="468"/>
      <c r="N237" s="451"/>
      <c r="O237" s="452"/>
      <c r="P237" s="452"/>
      <c r="Q237" s="452"/>
      <c r="R237" s="452"/>
      <c r="S237" s="452"/>
      <c r="T237" s="158"/>
    </row>
    <row r="238" spans="1:20" ht="12.75" customHeight="1" x14ac:dyDescent="0.3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68"/>
      <c r="M238" s="468"/>
      <c r="N238" s="451">
        <f t="shared" ref="N238:R238" si="3">1/(1+Kp.susp2R*SUSP.w2R/1000+0.05*Kow*0.001/1000)</f>
        <v>0.97560889946535656</v>
      </c>
      <c r="O238" s="452">
        <f t="shared" si="3"/>
        <v>0.97560889946535656</v>
      </c>
      <c r="P238" s="452">
        <f t="shared" si="3"/>
        <v>0.97560889946535656</v>
      </c>
      <c r="Q238" s="452">
        <f t="shared" si="3"/>
        <v>0.97560889946535656</v>
      </c>
      <c r="R238" s="452">
        <f t="shared" si="3"/>
        <v>0.97560889946535656</v>
      </c>
      <c r="S238" s="452"/>
      <c r="T238" s="158"/>
    </row>
    <row r="239" spans="1:20" ht="12.75" customHeight="1" x14ac:dyDescent="0.3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68"/>
      <c r="M239" s="468"/>
      <c r="N239" s="451"/>
      <c r="O239" s="452"/>
      <c r="P239" s="452"/>
      <c r="Q239" s="452"/>
      <c r="R239" s="452"/>
      <c r="S239" s="452"/>
      <c r="T239" s="158"/>
    </row>
    <row r="240" spans="1:20" ht="12.75" customHeight="1" x14ac:dyDescent="0.3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68"/>
      <c r="M240" s="468"/>
      <c r="N240" s="451"/>
      <c r="O240" s="452"/>
      <c r="P240" s="452"/>
      <c r="Q240" s="452"/>
      <c r="R240" s="452"/>
      <c r="S240" s="452"/>
      <c r="T240" s="158"/>
    </row>
    <row r="241" spans="1:20" ht="12.75" customHeight="1" x14ac:dyDescent="0.3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68"/>
      <c r="M241" s="468"/>
      <c r="N241" s="451"/>
      <c r="O241" s="452"/>
      <c r="P241" s="452"/>
      <c r="Q241" s="452"/>
      <c r="R241" s="452"/>
      <c r="S241" s="452"/>
      <c r="T241" s="158"/>
    </row>
    <row r="242" spans="1:20" ht="12.75" customHeight="1" x14ac:dyDescent="0.3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68"/>
      <c r="M242" s="468"/>
      <c r="N242" s="451"/>
      <c r="O242" s="452"/>
      <c r="P242" s="452"/>
      <c r="Q242" s="452"/>
      <c r="R242" s="452"/>
      <c r="S242" s="452"/>
      <c r="T242" s="158"/>
    </row>
    <row r="243" spans="1:20" ht="12.75" customHeight="1" x14ac:dyDescent="0.3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68"/>
      <c r="M243" s="468"/>
      <c r="N243" s="451"/>
      <c r="O243" s="452"/>
      <c r="P243" s="452"/>
      <c r="Q243" s="452"/>
      <c r="R243" s="452"/>
      <c r="S243" s="452"/>
      <c r="T243" s="158"/>
    </row>
    <row r="244" spans="1:20" ht="12.75" customHeight="1" x14ac:dyDescent="0.3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68"/>
      <c r="M244" s="468"/>
      <c r="N244" s="451"/>
      <c r="O244" s="452"/>
      <c r="P244" s="452"/>
      <c r="Q244" s="452"/>
      <c r="R244" s="452"/>
      <c r="S244" s="452"/>
      <c r="T244" s="158"/>
    </row>
    <row r="245" spans="1:20" ht="12.75" customHeight="1" x14ac:dyDescent="0.3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68"/>
      <c r="M245" s="468"/>
      <c r="N245" s="451"/>
      <c r="O245" s="452"/>
      <c r="P245" s="452"/>
      <c r="Q245" s="452"/>
      <c r="R245" s="452"/>
      <c r="S245" s="452"/>
      <c r="T245" s="158"/>
    </row>
    <row r="246" spans="1:20" ht="12.75" customHeight="1" x14ac:dyDescent="0.3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68"/>
      <c r="M246" s="468"/>
      <c r="N246" s="451"/>
      <c r="O246" s="452"/>
      <c r="P246" s="452"/>
      <c r="Q246" s="452"/>
      <c r="R246" s="452"/>
      <c r="S246" s="452"/>
      <c r="T246" s="158"/>
    </row>
    <row r="247" spans="1:20" ht="12.75" customHeight="1" x14ac:dyDescent="0.3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68"/>
      <c r="M247" s="468"/>
      <c r="N247" s="451"/>
      <c r="O247" s="452"/>
      <c r="P247" s="452"/>
      <c r="Q247" s="452"/>
      <c r="R247" s="452"/>
      <c r="S247" s="452"/>
      <c r="T247" s="158"/>
    </row>
    <row r="248" spans="1:20" ht="12.75" customHeight="1" x14ac:dyDescent="0.3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68"/>
      <c r="M248" s="468"/>
      <c r="N248" s="451"/>
      <c r="O248" s="452"/>
      <c r="P248" s="452"/>
      <c r="Q248" s="452"/>
      <c r="R248" s="452"/>
      <c r="S248" s="452"/>
      <c r="T248" s="158"/>
    </row>
    <row r="249" spans="1:20" ht="12.75" customHeight="1" x14ac:dyDescent="0.3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68"/>
      <c r="M249" s="468"/>
      <c r="N249" s="451"/>
      <c r="O249" s="452"/>
      <c r="P249" s="452"/>
      <c r="Q249" s="452"/>
      <c r="R249" s="452"/>
      <c r="S249" s="452"/>
      <c r="T249" s="158"/>
    </row>
    <row r="250" spans="1:20" ht="12.75" customHeight="1" x14ac:dyDescent="0.3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68"/>
      <c r="M250" s="468"/>
      <c r="N250" s="451"/>
      <c r="O250" s="452"/>
      <c r="P250" s="452"/>
      <c r="Q250" s="452"/>
      <c r="R250" s="452"/>
      <c r="S250" s="452"/>
      <c r="T250" s="158"/>
    </row>
    <row r="251" spans="1:20" ht="12.75" customHeight="1" x14ac:dyDescent="0.3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68"/>
      <c r="M251" s="468"/>
      <c r="N251" s="451"/>
      <c r="O251" s="452"/>
      <c r="P251" s="452"/>
      <c r="Q251" s="452"/>
      <c r="R251" s="452"/>
      <c r="S251" s="452"/>
      <c r="T251" s="158"/>
    </row>
    <row r="252" spans="1:20" ht="12.75" customHeight="1" x14ac:dyDescent="0.3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68"/>
      <c r="M252" s="468"/>
      <c r="N252" s="451"/>
      <c r="O252" s="452"/>
      <c r="P252" s="452"/>
      <c r="Q252" s="452"/>
      <c r="R252" s="452"/>
      <c r="S252" s="452"/>
      <c r="T252" s="158"/>
    </row>
    <row r="253" spans="1:20" ht="12.75" customHeight="1" x14ac:dyDescent="0.3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68"/>
      <c r="M253" s="468"/>
      <c r="N253" s="451"/>
      <c r="O253" s="452"/>
      <c r="P253" s="452"/>
      <c r="Q253" s="452"/>
      <c r="R253" s="452"/>
      <c r="S253" s="452"/>
      <c r="T253" s="158"/>
    </row>
    <row r="254" spans="1:20" ht="12.75" customHeight="1" x14ac:dyDescent="0.3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68"/>
      <c r="M254" s="468"/>
      <c r="N254" s="451"/>
      <c r="O254" s="452"/>
      <c r="P254" s="452"/>
      <c r="Q254" s="452"/>
      <c r="R254" s="452"/>
      <c r="S254" s="452"/>
      <c r="T254" s="158"/>
    </row>
    <row r="255" spans="1:20" ht="12.75" customHeight="1" x14ac:dyDescent="0.3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68"/>
      <c r="M255" s="468"/>
      <c r="N255" s="451"/>
      <c r="O255" s="452"/>
      <c r="P255" s="452"/>
      <c r="Q255" s="452"/>
      <c r="R255" s="452"/>
      <c r="S255" s="452"/>
      <c r="T255" s="158"/>
    </row>
    <row r="256" spans="1:20" ht="12.75" customHeight="1" x14ac:dyDescent="0.3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68"/>
      <c r="M256" s="468"/>
      <c r="N256" s="451"/>
      <c r="O256" s="452"/>
      <c r="P256" s="452"/>
      <c r="Q256" s="452"/>
      <c r="R256" s="452"/>
      <c r="S256" s="452"/>
      <c r="T256" s="158"/>
    </row>
    <row r="257" spans="1:20" ht="12.75" customHeight="1" x14ac:dyDescent="0.3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68"/>
      <c r="M257" s="468"/>
      <c r="N257" s="451"/>
      <c r="O257" s="452"/>
      <c r="P257" s="452"/>
      <c r="Q257" s="452"/>
      <c r="R257" s="452"/>
      <c r="S257" s="452"/>
      <c r="T257" s="158"/>
    </row>
    <row r="258" spans="1:20" ht="12.75" customHeight="1" x14ac:dyDescent="0.3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68"/>
      <c r="M258" s="468"/>
      <c r="N258" s="451"/>
      <c r="O258" s="452"/>
      <c r="P258" s="452"/>
      <c r="Q258" s="452"/>
      <c r="R258" s="452"/>
      <c r="S258" s="452"/>
      <c r="T258" s="158"/>
    </row>
    <row r="259" spans="1:20" ht="12.75" customHeight="1" x14ac:dyDescent="0.3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68"/>
      <c r="M259" s="468"/>
      <c r="N259" s="451"/>
      <c r="O259" s="452"/>
      <c r="P259" s="452"/>
      <c r="Q259" s="452"/>
      <c r="R259" s="452"/>
      <c r="S259" s="452"/>
      <c r="T259" s="158"/>
    </row>
    <row r="260" spans="1:20" ht="12.75" customHeight="1" x14ac:dyDescent="0.3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68"/>
      <c r="M260" s="468"/>
      <c r="N260" s="451"/>
      <c r="O260" s="452"/>
      <c r="P260" s="452"/>
      <c r="Q260" s="452"/>
      <c r="R260" s="452"/>
      <c r="S260" s="452"/>
      <c r="T260" s="158"/>
    </row>
    <row r="261" spans="1:20" ht="12.75" customHeight="1" x14ac:dyDescent="0.3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68"/>
      <c r="M261" s="468"/>
      <c r="N261" s="451"/>
      <c r="O261" s="452"/>
      <c r="P261" s="452"/>
      <c r="Q261" s="452"/>
      <c r="R261" s="452"/>
      <c r="S261" s="452"/>
      <c r="T261" s="158"/>
    </row>
    <row r="262" spans="1:20" ht="12.75" customHeight="1" x14ac:dyDescent="0.3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68"/>
      <c r="M262" s="468"/>
      <c r="N262" s="451"/>
      <c r="O262" s="452"/>
      <c r="P262" s="452"/>
      <c r="Q262" s="452"/>
      <c r="R262" s="452"/>
      <c r="S262" s="452"/>
      <c r="T262" s="158"/>
    </row>
    <row r="263" spans="1:20" ht="12.75" customHeight="1" x14ac:dyDescent="0.3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68"/>
      <c r="M263" s="468"/>
      <c r="N263" s="451"/>
      <c r="O263" s="452"/>
      <c r="P263" s="452"/>
      <c r="Q263" s="452"/>
      <c r="R263" s="452"/>
      <c r="S263" s="452"/>
      <c r="T263" s="158"/>
    </row>
    <row r="264" spans="1:20" ht="12.75" customHeight="1" x14ac:dyDescent="0.3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68"/>
      <c r="M264" s="468"/>
      <c r="N264" s="451"/>
      <c r="O264" s="452"/>
      <c r="P264" s="452"/>
      <c r="Q264" s="452"/>
      <c r="R264" s="452"/>
      <c r="S264" s="452"/>
      <c r="T264" s="158"/>
    </row>
    <row r="265" spans="1:20" ht="12.75" customHeight="1" x14ac:dyDescent="0.3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339"/>
      <c r="N265" s="339"/>
      <c r="O265" s="282"/>
      <c r="P265" s="282"/>
      <c r="Q265" s="282"/>
      <c r="R265" s="282"/>
      <c r="S265" s="282"/>
      <c r="T265" s="158"/>
    </row>
    <row r="266" spans="1:20" ht="12.75" customHeight="1" x14ac:dyDescent="0.3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 t="s">
        <v>754</v>
      </c>
      <c r="M266" s="364"/>
      <c r="N266" s="364"/>
      <c r="O266" s="470"/>
      <c r="P266" s="470"/>
      <c r="Q266" s="470"/>
      <c r="R266" s="470"/>
      <c r="S266" s="470"/>
      <c r="T266" s="158"/>
    </row>
    <row r="267" spans="1:20" ht="12.75" customHeight="1" x14ac:dyDescent="0.3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339"/>
      <c r="N267" s="339"/>
      <c r="O267" s="282"/>
      <c r="P267" s="282"/>
      <c r="Q267" s="282"/>
      <c r="R267" s="282"/>
      <c r="S267" s="282"/>
      <c r="T267" s="158"/>
    </row>
    <row r="268" spans="1:20" ht="12.75" customHeight="1" x14ac:dyDescent="0.3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/>
      <c r="M268" s="451"/>
      <c r="N268" s="451">
        <f>((DRYDEPaerosol.R+AerosolWashout.R+GasWashout.R+GASABS.aR.wR)/HEIGHT.aR)*AREAFRAC.w0R</f>
        <v>2.6423791702775198E-2</v>
      </c>
      <c r="O268" s="451">
        <f>((DRYDEPaerosol.R+AerosolWashout.R+GasWashout.R+GASABS.aR.wR)/HEIGHT.aR)*AREAFRAC.w0R</f>
        <v>2.6423791702775198E-2</v>
      </c>
      <c r="P268" s="451">
        <f>((DRYDEPaerosol.R+AerosolWashout.R+GasWashout.R+GASABS.aR.wR)/HEIGHT.aR)*AREAFRAC.w0R</f>
        <v>2.6423791702775198E-2</v>
      </c>
      <c r="Q268" s="451">
        <f>((DRYDEPaerosol.R+AerosolWashout.R+GasWashout.R+GASABS.aR.wR)/HEIGHT.aR)*AREAFRAC.w0R</f>
        <v>2.6423791702775198E-2</v>
      </c>
      <c r="R268" s="451">
        <f>((DRYDEPaerosol.R+AerosolWashout.R+GasWashout.R+GASABS.aR.wR)/HEIGHT.aR)*AREAFRAC.w0R</f>
        <v>2.6423791702775198E-2</v>
      </c>
      <c r="S268" s="452"/>
      <c r="T268" s="158"/>
    </row>
    <row r="269" spans="1:20" ht="12.75" customHeight="1" x14ac:dyDescent="0.3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/>
      <c r="M269" s="451"/>
      <c r="N269" s="451">
        <f>((DRYDEPaerosol.R+AerosolWashout.R+GasWashout.R+GASABS.aR.wR)/HEIGHT.aR)*AREAFRAC.w1R</f>
        <v>0.29066170873052721</v>
      </c>
      <c r="O269" s="451">
        <f>((DRYDEPaerosol.R+AerosolWashout.R+GasWashout.R+GASABS.aR.wR)/HEIGHT.aR)*AREAFRAC.w1R</f>
        <v>0.29066170873052721</v>
      </c>
      <c r="P269" s="451">
        <f>((DRYDEPaerosol.R+AerosolWashout.R+GasWashout.R+GASABS.aR.wR)/HEIGHT.aR)*AREAFRAC.w1R</f>
        <v>0.29066170873052721</v>
      </c>
      <c r="Q269" s="451">
        <f>((DRYDEPaerosol.R+AerosolWashout.R+GasWashout.R+GASABS.aR.wR)/HEIGHT.aR)*AREAFRAC.w1R</f>
        <v>0.29066170873052721</v>
      </c>
      <c r="R269" s="451">
        <f>((DRYDEPaerosol.R+AerosolWashout.R+GasWashout.R+GASABS.aR.wR)/HEIGHT.aR)*AREAFRAC.w1R</f>
        <v>0.29066170873052721</v>
      </c>
      <c r="S269" s="452"/>
      <c r="T269" s="158"/>
    </row>
    <row r="270" spans="1:20" ht="12.75" customHeight="1" x14ac:dyDescent="0.3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/>
      <c r="M270" s="451"/>
      <c r="N270" s="451">
        <f>((DRYDEPaerosol.R+AerosolWashout.R+GasWashout.R+GASABS.aR.wR)/HEIGHT.aR)*AREAFRAC.w2R</f>
        <v>4.6241924491884724E-2</v>
      </c>
      <c r="O270" s="451">
        <f>((DRYDEPaerosol.R+AerosolWashout.R+GasWashout.R+GASABS.aR.wR)/HEIGHT.aR)*AREAFRAC.w2R</f>
        <v>4.6241924491884724E-2</v>
      </c>
      <c r="P270" s="451">
        <f>((DRYDEPaerosol.R+AerosolWashout.R+GasWashout.R+GASABS.aR.wR)/HEIGHT.aR)*AREAFRAC.w2R</f>
        <v>4.6241924491884724E-2</v>
      </c>
      <c r="Q270" s="451">
        <f>((DRYDEPaerosol.R+AerosolWashout.R+GasWashout.R+GASABS.aR.wR)/HEIGHT.aR)*AREAFRAC.w2R</f>
        <v>4.6241924491884724E-2</v>
      </c>
      <c r="R270" s="451">
        <f>((DRYDEPaerosol.R+AerosolWashout.R+GasWashout.R+GASABS.aR.wR)/HEIGHT.aR)*AREAFRAC.w2R</f>
        <v>4.6241924491884724E-2</v>
      </c>
      <c r="S270" s="452"/>
      <c r="T270" s="158"/>
    </row>
    <row r="271" spans="1:20" ht="12.75" customHeight="1" x14ac:dyDescent="0.3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/>
      <c r="M271" s="451"/>
      <c r="N271" s="451">
        <f>((DRYDEPaerosol.R+AerosolWashout.R+GasWashout.R+GASABS.aR.sR)/HEIGHT.aR)*AREAFRAC.s1R</f>
        <v>2.8537695038997222</v>
      </c>
      <c r="O271" s="451">
        <f>((DRYDEPaerosol.R+AerosolWashout.R+GasWashout.R+GASABS.aR.sR)/HEIGHT.aR)*AREAFRAC.s1R</f>
        <v>2.8537695038997222</v>
      </c>
      <c r="P271" s="451">
        <f>((DRYDEPaerosol.R+AerosolWashout.R+GasWashout.R+GASABS.aR.sR)/HEIGHT.aR)*AREAFRAC.s1R</f>
        <v>2.8537695038997222</v>
      </c>
      <c r="Q271" s="451">
        <f>((DRYDEPaerosol.R+AerosolWashout.R+GasWashout.R+GASABS.aR.sR)/HEIGHT.aR)*AREAFRAC.s1R</f>
        <v>2.8537695038997222</v>
      </c>
      <c r="R271" s="451">
        <f>((DRYDEPaerosol.R+AerosolWashout.R+GasWashout.R+GASABS.aR.sR)/HEIGHT.aR)*AREAFRAC.s1R</f>
        <v>2.8537695038997222</v>
      </c>
      <c r="S271" s="452"/>
      <c r="T271" s="158"/>
    </row>
    <row r="272" spans="1:20" ht="12.75" customHeight="1" x14ac:dyDescent="0.3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/>
      <c r="M272" s="451"/>
      <c r="N272" s="451">
        <f>((DRYDEPaerosol.R+AerosolWashout.R+GasWashout.R+GASABS.aR.sR)/HEIGHT.aR)*AREAFRAC.s2R</f>
        <v>6.3417100086660474</v>
      </c>
      <c r="O272" s="451">
        <f>((DRYDEPaerosol.R+AerosolWashout.R+GasWashout.R+GASABS.aR.sR)/HEIGHT.aR)*AREAFRAC.s2R</f>
        <v>6.3417100086660474</v>
      </c>
      <c r="P272" s="451">
        <f>((DRYDEPaerosol.R+AerosolWashout.R+GasWashout.R+GASABS.aR.sR)/HEIGHT.aR)*AREAFRAC.s2R</f>
        <v>6.3417100086660474</v>
      </c>
      <c r="Q272" s="451">
        <f>((DRYDEPaerosol.R+AerosolWashout.R+GasWashout.R+GASABS.aR.sR)/HEIGHT.aR)*AREAFRAC.s2R</f>
        <v>6.3417100086660474</v>
      </c>
      <c r="R272" s="451">
        <f>((DRYDEPaerosol.R+AerosolWashout.R+GasWashout.R+GASABS.aR.sR)/HEIGHT.aR)*AREAFRAC.s2R</f>
        <v>6.3417100086660474</v>
      </c>
      <c r="S272" s="452"/>
      <c r="T272" s="158"/>
    </row>
    <row r="273" spans="1:20" ht="12.75" customHeight="1" x14ac:dyDescent="0.3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/>
      <c r="M273" s="451"/>
      <c r="N273" s="451">
        <f>((DRYDEPaerosol.R+AerosolWashout.R+GasWashout.R+GASABS.aR.sR)/HEIGHT.aR)*AREAFRAC.s3R</f>
        <v>1.056951668111008</v>
      </c>
      <c r="O273" s="451">
        <f>((DRYDEPaerosol.R+AerosolWashout.R+GasWashout.R+GASABS.aR.sR)/HEIGHT.aR)*AREAFRAC.s3R</f>
        <v>1.056951668111008</v>
      </c>
      <c r="P273" s="451">
        <f>((DRYDEPaerosol.R+AerosolWashout.R+GasWashout.R+GASABS.aR.sR)/HEIGHT.aR)*AREAFRAC.s3R</f>
        <v>1.056951668111008</v>
      </c>
      <c r="Q273" s="451">
        <f>((DRYDEPaerosol.R+AerosolWashout.R+GasWashout.R+GASABS.aR.sR)/HEIGHT.aR)*AREAFRAC.s3R</f>
        <v>1.056951668111008</v>
      </c>
      <c r="R273" s="451">
        <f>((DRYDEPaerosol.R+AerosolWashout.R+GasWashout.R+GASABS.aR.sR)/HEIGHT.aR)*AREAFRAC.s3R</f>
        <v>1.056951668111008</v>
      </c>
      <c r="S273" s="452"/>
      <c r="T273" s="158"/>
    </row>
    <row r="274" spans="1:20" ht="12.75" customHeight="1" x14ac:dyDescent="0.3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1"/>
      <c r="N274" s="451"/>
      <c r="O274" s="452"/>
      <c r="P274" s="452"/>
      <c r="Q274" s="452"/>
      <c r="R274" s="452"/>
      <c r="S274" s="452"/>
      <c r="T274" s="158"/>
    </row>
    <row r="275" spans="1:20" ht="12.75" customHeight="1" x14ac:dyDescent="0.3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1"/>
      <c r="N275" s="451"/>
      <c r="O275" s="452"/>
      <c r="P275" s="452"/>
      <c r="Q275" s="452"/>
      <c r="R275" s="452"/>
      <c r="S275" s="452"/>
      <c r="T275" s="158"/>
    </row>
    <row r="276" spans="1:20" ht="12.75" customHeight="1" x14ac:dyDescent="0.3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1"/>
      <c r="N276" s="451"/>
      <c r="O276" s="452"/>
      <c r="P276" s="452"/>
      <c r="Q276" s="452"/>
      <c r="R276" s="452"/>
      <c r="S276" s="452"/>
      <c r="T276" s="158"/>
    </row>
    <row r="277" spans="1:20" ht="12.75" customHeight="1" x14ac:dyDescent="0.3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1"/>
      <c r="N277" s="451"/>
      <c r="O277" s="452"/>
      <c r="P277" s="452"/>
      <c r="Q277" s="452"/>
      <c r="R277" s="452"/>
      <c r="S277" s="452"/>
      <c r="T277" s="158"/>
    </row>
    <row r="278" spans="1:20" ht="12.75" customHeight="1" x14ac:dyDescent="0.3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1"/>
      <c r="N278" s="451"/>
      <c r="O278" s="452"/>
      <c r="P278" s="452"/>
      <c r="Q278" s="452"/>
      <c r="R278" s="452"/>
      <c r="S278" s="452"/>
      <c r="T278" s="158"/>
    </row>
    <row r="279" spans="1:20" ht="12.75" customHeight="1" x14ac:dyDescent="0.3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1"/>
      <c r="N279" s="451"/>
      <c r="O279" s="452"/>
      <c r="P279" s="452"/>
      <c r="Q279" s="452"/>
      <c r="R279" s="452"/>
      <c r="S279" s="452"/>
      <c r="T279" s="158"/>
    </row>
    <row r="280" spans="1:20" ht="12.75" customHeight="1" x14ac:dyDescent="0.3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1"/>
      <c r="N280" s="451"/>
      <c r="O280" s="452"/>
      <c r="P280" s="452"/>
      <c r="Q280" s="452"/>
      <c r="R280" s="452"/>
      <c r="S280" s="452"/>
      <c r="T280" s="158"/>
    </row>
    <row r="281" spans="1:20" ht="12.75" customHeight="1" x14ac:dyDescent="0.3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1"/>
      <c r="N281" s="451"/>
      <c r="O281" s="452"/>
      <c r="P281" s="452"/>
      <c r="Q281" s="452"/>
      <c r="R281" s="452"/>
      <c r="S281" s="452"/>
      <c r="T281" s="158"/>
    </row>
    <row r="282" spans="1:20" ht="12.75" customHeight="1" x14ac:dyDescent="0.3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1"/>
      <c r="N282" s="451"/>
      <c r="O282" s="452"/>
      <c r="P282" s="452"/>
      <c r="Q282" s="452"/>
      <c r="R282" s="452"/>
      <c r="S282" s="452"/>
      <c r="T282" s="158"/>
    </row>
    <row r="283" spans="1:20" ht="12.75" customHeight="1" x14ac:dyDescent="0.3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1"/>
      <c r="N283" s="451"/>
      <c r="O283" s="452"/>
      <c r="P283" s="452"/>
      <c r="Q283" s="452"/>
      <c r="R283" s="452"/>
      <c r="S283" s="452"/>
      <c r="T283" s="158"/>
    </row>
    <row r="284" spans="1:20" ht="12.75" customHeight="1" x14ac:dyDescent="0.3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1"/>
      <c r="N284" s="451"/>
      <c r="O284" s="452"/>
      <c r="P284" s="452"/>
      <c r="Q284" s="452"/>
      <c r="R284" s="452"/>
      <c r="S284" s="452"/>
      <c r="T284" s="158"/>
    </row>
    <row r="285" spans="1:20" ht="12.75" customHeight="1" x14ac:dyDescent="0.3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1"/>
      <c r="N285" s="451"/>
      <c r="O285" s="452"/>
      <c r="P285" s="452"/>
      <c r="Q285" s="452"/>
      <c r="R285" s="452"/>
      <c r="S285" s="452"/>
      <c r="T285" s="158"/>
    </row>
    <row r="286" spans="1:20" ht="12.75" customHeight="1" x14ac:dyDescent="0.3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/>
      <c r="M286" s="451"/>
      <c r="N286" s="451">
        <f>AEROSOLdeprate.R*FRaers.aR</f>
        <v>4.2609589573335867E-4</v>
      </c>
      <c r="O286" s="451">
        <f>AEROSOLdeprate.R*FRaers.aR</f>
        <v>4.2609589573335867E-4</v>
      </c>
      <c r="P286" s="451">
        <f>AEROSOLdeprate.R*FRaers.aR</f>
        <v>4.2609589573335867E-4</v>
      </c>
      <c r="Q286" s="451">
        <f>AEROSOLdeprate.R*FRaers.aR</f>
        <v>4.2609589573335867E-4</v>
      </c>
      <c r="R286" s="451">
        <f>AEROSOLdeprate.R*FRaers.aR</f>
        <v>4.2609589573335867E-4</v>
      </c>
      <c r="S286" s="452"/>
      <c r="T286" s="158"/>
    </row>
    <row r="287" spans="1:20" ht="12.75" customHeight="1" x14ac:dyDescent="0.3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/>
      <c r="M287" s="451"/>
      <c r="N287" s="451">
        <f t="shared" ref="N287:R287" si="4">(1-FRgas.aR)*COLLECTeff.R*RAINrate.R</f>
        <v>4.4393708772405205E-3</v>
      </c>
      <c r="O287" s="452">
        <f t="shared" si="4"/>
        <v>4.4393708772405205E-3</v>
      </c>
      <c r="P287" s="452">
        <f t="shared" si="4"/>
        <v>4.4393708772405205E-3</v>
      </c>
      <c r="Q287" s="452">
        <f t="shared" si="4"/>
        <v>4.4393708772405205E-3</v>
      </c>
      <c r="R287" s="452">
        <f t="shared" si="4"/>
        <v>4.4393708772405205E-3</v>
      </c>
      <c r="S287" s="452"/>
      <c r="T287" s="158"/>
    </row>
    <row r="288" spans="1:20" ht="12.75" customHeight="1" x14ac:dyDescent="0.3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/>
      <c r="M288" s="451"/>
      <c r="N288" s="451">
        <f t="shared" ref="N288:R288" si="5">FRgas.aR*RAINrate.R/Kaw.R</f>
        <v>636.94356473840719</v>
      </c>
      <c r="O288" s="452">
        <f t="shared" si="5"/>
        <v>636.94356473840719</v>
      </c>
      <c r="P288" s="452">
        <f t="shared" si="5"/>
        <v>636.94356473840719</v>
      </c>
      <c r="Q288" s="452">
        <f t="shared" si="5"/>
        <v>636.94356473840719</v>
      </c>
      <c r="R288" s="452">
        <f t="shared" si="5"/>
        <v>636.94356473840719</v>
      </c>
      <c r="S288" s="452"/>
      <c r="T288" s="158"/>
    </row>
    <row r="289" spans="1:20" ht="12.75" customHeight="1" x14ac:dyDescent="0.3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1"/>
      <c r="N289" s="451"/>
      <c r="O289" s="452"/>
      <c r="P289" s="452"/>
      <c r="Q289" s="452"/>
      <c r="R289" s="452"/>
      <c r="S289" s="452"/>
      <c r="T289" s="158"/>
    </row>
    <row r="290" spans="1:20" ht="12.75" customHeight="1" x14ac:dyDescent="0.3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1"/>
      <c r="N290" s="451"/>
      <c r="O290" s="452"/>
      <c r="P290" s="452"/>
      <c r="Q290" s="452"/>
      <c r="R290" s="452"/>
      <c r="S290" s="452"/>
      <c r="T290" s="158"/>
    </row>
    <row r="291" spans="1:20" ht="12.75" customHeight="1" x14ac:dyDescent="0.3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1"/>
      <c r="N291" s="451"/>
      <c r="O291" s="452"/>
      <c r="P291" s="452"/>
      <c r="Q291" s="452"/>
      <c r="R291" s="452"/>
      <c r="S291" s="452"/>
      <c r="T291" s="158"/>
    </row>
    <row r="292" spans="1:20" ht="12.75" customHeight="1" x14ac:dyDescent="0.3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1"/>
      <c r="N292" s="451"/>
      <c r="O292" s="452"/>
      <c r="P292" s="452"/>
      <c r="Q292" s="452"/>
      <c r="R292" s="452"/>
      <c r="S292" s="452"/>
      <c r="T292" s="158"/>
    </row>
    <row r="293" spans="1:20" ht="12.75" customHeight="1" x14ac:dyDescent="0.3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1"/>
      <c r="N293" s="451"/>
      <c r="O293" s="452"/>
      <c r="P293" s="452"/>
      <c r="Q293" s="452"/>
      <c r="R293" s="452"/>
      <c r="S293" s="452"/>
      <c r="T293" s="158"/>
    </row>
    <row r="294" spans="1:20" ht="12.75" customHeight="1" x14ac:dyDescent="0.3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1"/>
      <c r="N294" s="451"/>
      <c r="O294" s="452"/>
      <c r="P294" s="452"/>
      <c r="Q294" s="452"/>
      <c r="R294" s="452"/>
      <c r="S294" s="452"/>
      <c r="T294" s="158"/>
    </row>
    <row r="295" spans="1:20" ht="12.75" customHeight="1" x14ac:dyDescent="0.3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1"/>
      <c r="N295" s="451"/>
      <c r="O295" s="452"/>
      <c r="P295" s="452"/>
      <c r="Q295" s="452"/>
      <c r="R295" s="452"/>
      <c r="S295" s="452"/>
      <c r="T295" s="158"/>
    </row>
    <row r="296" spans="1:20" ht="12.75" customHeight="1" x14ac:dyDescent="0.3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1"/>
      <c r="N296" s="451"/>
      <c r="O296" s="452"/>
      <c r="P296" s="452"/>
      <c r="Q296" s="452"/>
      <c r="R296" s="452"/>
      <c r="S296" s="452"/>
      <c r="T296" s="158"/>
    </row>
    <row r="297" spans="1:20" ht="12.75" customHeight="1" x14ac:dyDescent="0.3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1"/>
      <c r="N297" s="451"/>
      <c r="O297" s="452"/>
      <c r="P297" s="452"/>
      <c r="Q297" s="452"/>
      <c r="R297" s="452"/>
      <c r="S297" s="452"/>
      <c r="T297" s="158"/>
    </row>
    <row r="298" spans="1:20" ht="12.75" customHeight="1" x14ac:dyDescent="0.3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1"/>
      <c r="N298" s="451"/>
      <c r="O298" s="452"/>
      <c r="P298" s="452"/>
      <c r="Q298" s="452"/>
      <c r="R298" s="452"/>
      <c r="S298" s="452"/>
      <c r="T298" s="158"/>
    </row>
    <row r="299" spans="1:20" ht="12.75" customHeight="1" x14ac:dyDescent="0.3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1"/>
      <c r="N299" s="451"/>
      <c r="O299" s="452"/>
      <c r="P299" s="452"/>
      <c r="Q299" s="452"/>
      <c r="R299" s="452"/>
      <c r="S299" s="452"/>
      <c r="T299" s="158"/>
    </row>
    <row r="300" spans="1:20" ht="12.75" customHeight="1" x14ac:dyDescent="0.3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1"/>
      <c r="N300" s="451"/>
      <c r="O300" s="452"/>
      <c r="P300" s="452"/>
      <c r="Q300" s="452"/>
      <c r="R300" s="452"/>
      <c r="S300" s="452"/>
      <c r="T300" s="158"/>
    </row>
    <row r="301" spans="1:20" ht="12.75" customHeight="1" x14ac:dyDescent="0.3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1"/>
      <c r="Q301" s="451"/>
      <c r="R301" s="452"/>
      <c r="S301" s="451"/>
      <c r="T301" s="158"/>
    </row>
    <row r="302" spans="1:20" ht="12.75" customHeight="1" x14ac:dyDescent="0.3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451"/>
      <c r="M302" s="451"/>
      <c r="N302" s="612"/>
      <c r="O302" s="612"/>
      <c r="P302" s="612"/>
      <c r="Q302" s="612"/>
      <c r="R302" s="452"/>
      <c r="S302" s="612"/>
      <c r="T302" s="158"/>
    </row>
    <row r="303" spans="1:20" ht="12.75" customHeight="1" x14ac:dyDescent="0.3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/>
      <c r="M303" s="451"/>
      <c r="N303" s="451">
        <v>1</v>
      </c>
      <c r="O303" s="451">
        <v>1</v>
      </c>
      <c r="P303" s="451">
        <v>1</v>
      </c>
      <c r="Q303" s="451">
        <v>1</v>
      </c>
      <c r="R303" s="452"/>
      <c r="S303" s="451">
        <v>1</v>
      </c>
      <c r="T303" s="158"/>
    </row>
    <row r="304" spans="1:20" ht="12.75" customHeight="1" x14ac:dyDescent="0.3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/>
      <c r="M304" s="451"/>
      <c r="N304" s="451">
        <v>1</v>
      </c>
      <c r="O304" s="451">
        <v>1</v>
      </c>
      <c r="P304" s="451">
        <v>1</v>
      </c>
      <c r="Q304" s="451">
        <v>1</v>
      </c>
      <c r="R304" s="452"/>
      <c r="S304" s="451">
        <v>1</v>
      </c>
      <c r="T304" s="158"/>
    </row>
    <row r="305" spans="1:20" ht="12.75" customHeight="1" x14ac:dyDescent="0.3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/>
      <c r="M305" s="451"/>
      <c r="N305" s="451">
        <v>1</v>
      </c>
      <c r="O305" s="451">
        <v>1</v>
      </c>
      <c r="P305" s="451">
        <v>1</v>
      </c>
      <c r="Q305" s="451">
        <v>1</v>
      </c>
      <c r="R305" s="452"/>
      <c r="S305" s="451">
        <v>1</v>
      </c>
      <c r="T305" s="158"/>
    </row>
    <row r="306" spans="1:20" ht="12.75" customHeight="1" x14ac:dyDescent="0.3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59"/>
      <c r="N306" s="459"/>
      <c r="O306" s="460"/>
      <c r="P306" s="460"/>
      <c r="Q306" s="460"/>
      <c r="R306" s="460"/>
      <c r="S306" s="460"/>
      <c r="T306" s="158"/>
    </row>
    <row r="307" spans="1:20" ht="12.75" customHeight="1" x14ac:dyDescent="0.3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1"/>
      <c r="N307" s="451"/>
      <c r="O307" s="452"/>
      <c r="P307" s="452"/>
      <c r="Q307" s="452"/>
      <c r="R307" s="452"/>
      <c r="S307" s="452"/>
      <c r="T307" s="158"/>
    </row>
    <row r="308" spans="1:20" ht="12.75" customHeight="1" x14ac:dyDescent="0.3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1"/>
      <c r="N308" s="451"/>
      <c r="O308" s="452"/>
      <c r="P308" s="452"/>
      <c r="Q308" s="452"/>
      <c r="R308" s="452"/>
      <c r="S308" s="452"/>
      <c r="T308" s="158"/>
    </row>
    <row r="309" spans="1:20" ht="12.75" customHeight="1" x14ac:dyDescent="0.3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1"/>
      <c r="N309" s="451"/>
      <c r="O309" s="452"/>
      <c r="P309" s="452"/>
      <c r="Q309" s="452"/>
      <c r="R309" s="452"/>
      <c r="S309" s="452"/>
      <c r="T309" s="158"/>
    </row>
    <row r="310" spans="1:20" ht="12.75" customHeight="1" x14ac:dyDescent="0.3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1"/>
      <c r="N310" s="451"/>
      <c r="O310" s="452"/>
      <c r="P310" s="452"/>
      <c r="Q310" s="452"/>
      <c r="R310" s="452"/>
      <c r="S310" s="452"/>
      <c r="T310" s="158"/>
    </row>
    <row r="311" spans="1:20" ht="12.75" customHeight="1" x14ac:dyDescent="0.3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1"/>
      <c r="N311" s="451"/>
      <c r="O311" s="452"/>
      <c r="P311" s="452"/>
      <c r="Q311" s="452"/>
      <c r="R311" s="452"/>
      <c r="S311" s="452"/>
      <c r="T311" s="158"/>
    </row>
    <row r="312" spans="1:20" ht="12.75" customHeight="1" x14ac:dyDescent="0.3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1"/>
      <c r="N312" s="451"/>
      <c r="O312" s="452"/>
      <c r="P312" s="452"/>
      <c r="Q312" s="452"/>
      <c r="R312" s="452"/>
      <c r="S312" s="452"/>
      <c r="T312" s="158"/>
    </row>
    <row r="313" spans="1:20" ht="12.75" customHeight="1" x14ac:dyDescent="0.3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1"/>
      <c r="N313" s="451"/>
      <c r="O313" s="452"/>
      <c r="P313" s="452"/>
      <c r="Q313" s="452"/>
      <c r="R313" s="452"/>
      <c r="S313" s="452"/>
      <c r="T313" s="158"/>
    </row>
    <row r="314" spans="1:20" ht="12.75" customHeight="1" x14ac:dyDescent="0.3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1"/>
      <c r="N314" s="451"/>
      <c r="O314" s="452"/>
      <c r="P314" s="452"/>
      <c r="Q314" s="452"/>
      <c r="R314" s="452"/>
      <c r="S314" s="452"/>
      <c r="T314" s="158"/>
    </row>
    <row r="315" spans="1:20" ht="12.75" customHeight="1" x14ac:dyDescent="0.3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1"/>
      <c r="N315" s="451"/>
      <c r="O315" s="452"/>
      <c r="P315" s="452"/>
      <c r="Q315" s="452"/>
      <c r="R315" s="452"/>
      <c r="S315" s="452"/>
      <c r="T315" s="158"/>
    </row>
    <row r="316" spans="1:20" ht="12.75" customHeight="1" x14ac:dyDescent="0.3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1"/>
      <c r="N316" s="451"/>
      <c r="O316" s="452"/>
      <c r="P316" s="452"/>
      <c r="Q316" s="452"/>
      <c r="R316" s="452"/>
      <c r="S316" s="452"/>
      <c r="T316" s="158"/>
    </row>
    <row r="317" spans="1:20" ht="12.75" customHeight="1" x14ac:dyDescent="0.3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1"/>
      <c r="N317" s="451"/>
      <c r="O317" s="452"/>
      <c r="P317" s="452"/>
      <c r="Q317" s="452"/>
      <c r="R317" s="452"/>
      <c r="S317" s="452"/>
      <c r="T317" s="158"/>
    </row>
    <row r="318" spans="1:20" ht="12.75" customHeight="1" x14ac:dyDescent="0.3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1"/>
      <c r="N318" s="451"/>
      <c r="O318" s="452"/>
      <c r="P318" s="452"/>
      <c r="Q318" s="452"/>
      <c r="R318" s="452"/>
      <c r="S318" s="452"/>
      <c r="T318" s="158"/>
    </row>
    <row r="319" spans="1:20" ht="12.75" customHeight="1" x14ac:dyDescent="0.3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/>
      <c r="M319" s="451"/>
      <c r="N319" s="451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452">
        <v>2.8062993087265316E-11</v>
      </c>
      <c r="S319" s="452">
        <v>2.8062993087265316E-11</v>
      </c>
      <c r="T319" s="158"/>
    </row>
    <row r="320" spans="1:20" ht="12.75" customHeight="1" x14ac:dyDescent="0.3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1"/>
      <c r="N320" s="451"/>
      <c r="O320" s="452"/>
      <c r="P320" s="452"/>
      <c r="Q320" s="452"/>
      <c r="R320" s="452"/>
      <c r="S320" s="452"/>
      <c r="T320" s="158"/>
    </row>
    <row r="321" spans="1:20" ht="12.75" customHeight="1" x14ac:dyDescent="0.3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1"/>
      <c r="N321" s="451"/>
      <c r="O321" s="452"/>
      <c r="P321" s="452"/>
      <c r="Q321" s="452"/>
      <c r="R321" s="452"/>
      <c r="S321" s="452"/>
      <c r="T321" s="158"/>
    </row>
    <row r="322" spans="1:20" ht="12.75" customHeight="1" x14ac:dyDescent="0.3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1"/>
      <c r="N322" s="451"/>
      <c r="O322" s="452"/>
      <c r="P322" s="452"/>
      <c r="Q322" s="452"/>
      <c r="R322" s="452"/>
      <c r="S322" s="452"/>
      <c r="T322" s="158"/>
    </row>
    <row r="323" spans="1:20" ht="12.75" customHeight="1" x14ac:dyDescent="0.3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1"/>
      <c r="N323" s="451"/>
      <c r="O323" s="452"/>
      <c r="P323" s="452"/>
      <c r="Q323" s="452"/>
      <c r="R323" s="452"/>
      <c r="S323" s="452"/>
      <c r="T323" s="158"/>
    </row>
    <row r="324" spans="1:20" ht="12.75" customHeight="1" x14ac:dyDescent="0.3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1"/>
      <c r="N324" s="451"/>
      <c r="O324" s="452"/>
      <c r="P324" s="452"/>
      <c r="Q324" s="452"/>
      <c r="R324" s="452"/>
      <c r="S324" s="452"/>
      <c r="T324" s="158"/>
    </row>
    <row r="325" spans="1:20" ht="12.75" customHeight="1" x14ac:dyDescent="0.3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1"/>
      <c r="N325" s="451"/>
      <c r="O325" s="452"/>
      <c r="P325" s="452"/>
      <c r="Q325" s="452"/>
      <c r="R325" s="452"/>
      <c r="S325" s="452"/>
      <c r="T325" s="158"/>
    </row>
    <row r="326" spans="1:20" ht="12.75" customHeight="1" x14ac:dyDescent="0.3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1"/>
      <c r="N326" s="451"/>
      <c r="O326" s="452"/>
      <c r="P326" s="452"/>
      <c r="Q326" s="452"/>
      <c r="R326" s="452"/>
      <c r="S326" s="452"/>
      <c r="T326" s="158"/>
    </row>
    <row r="327" spans="1:20" ht="12.75" customHeight="1" x14ac:dyDescent="0.3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1"/>
      <c r="N327" s="451"/>
      <c r="O327" s="452"/>
      <c r="P327" s="452"/>
      <c r="Q327" s="452"/>
      <c r="R327" s="452"/>
      <c r="S327" s="452"/>
      <c r="T327" s="158"/>
    </row>
    <row r="328" spans="1:20" ht="12.75" customHeight="1" x14ac:dyDescent="0.3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59"/>
      <c r="N328" s="459"/>
      <c r="O328" s="460"/>
      <c r="P328" s="460"/>
      <c r="Q328" s="460"/>
      <c r="R328" s="460"/>
      <c r="S328" s="460"/>
      <c r="T328" s="158"/>
    </row>
    <row r="329" spans="1:20" ht="12.75" customHeight="1" x14ac:dyDescent="0.3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1"/>
      <c r="N329" s="451"/>
      <c r="O329" s="452"/>
      <c r="P329" s="452"/>
      <c r="Q329" s="452"/>
      <c r="R329" s="452"/>
      <c r="S329" s="452"/>
      <c r="T329" s="158"/>
    </row>
    <row r="330" spans="1:20" ht="12.75" customHeight="1" x14ac:dyDescent="0.3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1"/>
      <c r="N330" s="451"/>
      <c r="O330" s="452"/>
      <c r="P330" s="452"/>
      <c r="Q330" s="452"/>
      <c r="R330" s="452"/>
      <c r="S330" s="452"/>
      <c r="T330" s="158"/>
    </row>
    <row r="331" spans="1:20" ht="12.75" customHeight="1" x14ac:dyDescent="0.3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1"/>
      <c r="N331" s="451"/>
      <c r="O331" s="452"/>
      <c r="P331" s="452"/>
      <c r="Q331" s="452"/>
      <c r="R331" s="452"/>
      <c r="S331" s="452"/>
      <c r="T331" s="158"/>
    </row>
    <row r="332" spans="1:20" ht="12.75" customHeight="1" x14ac:dyDescent="0.3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1"/>
      <c r="N332" s="451"/>
      <c r="O332" s="452"/>
      <c r="P332" s="452"/>
      <c r="Q332" s="452"/>
      <c r="R332" s="452"/>
      <c r="S332" s="452"/>
      <c r="T332" s="158"/>
    </row>
    <row r="333" spans="1:20" ht="12.75" customHeight="1" x14ac:dyDescent="0.3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1"/>
      <c r="N333" s="451"/>
      <c r="O333" s="452"/>
      <c r="P333" s="452"/>
      <c r="Q333" s="452"/>
      <c r="R333" s="452"/>
      <c r="S333" s="452"/>
      <c r="T333" s="158"/>
    </row>
    <row r="334" spans="1:20" ht="12.75" customHeight="1" x14ac:dyDescent="0.3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1"/>
      <c r="N334" s="451"/>
      <c r="O334" s="452"/>
      <c r="P334" s="452"/>
      <c r="Q334" s="452"/>
      <c r="R334" s="452"/>
      <c r="S334" s="452"/>
      <c r="T334" s="158"/>
    </row>
    <row r="335" spans="1:20" ht="12.75" customHeight="1" x14ac:dyDescent="0.3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1"/>
      <c r="N335" s="451"/>
      <c r="O335" s="452"/>
      <c r="P335" s="452"/>
      <c r="Q335" s="452"/>
      <c r="R335" s="452"/>
      <c r="S335" s="452"/>
      <c r="T335" s="158"/>
    </row>
    <row r="336" spans="1:20" ht="12.75" customHeight="1" x14ac:dyDescent="0.3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1"/>
      <c r="N336" s="451"/>
      <c r="O336" s="452"/>
      <c r="P336" s="452"/>
      <c r="Q336" s="452"/>
      <c r="R336" s="452"/>
      <c r="S336" s="452"/>
      <c r="T336" s="158"/>
    </row>
    <row r="337" spans="1:20" ht="12.75" customHeight="1" x14ac:dyDescent="0.3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1"/>
      <c r="N337" s="451"/>
      <c r="O337" s="452"/>
      <c r="P337" s="452"/>
      <c r="Q337" s="452"/>
      <c r="R337" s="452"/>
      <c r="S337" s="452"/>
      <c r="T337" s="158"/>
    </row>
    <row r="338" spans="1:20" ht="12.75" customHeight="1" x14ac:dyDescent="0.3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1"/>
      <c r="N338" s="451"/>
      <c r="O338" s="452"/>
      <c r="P338" s="452"/>
      <c r="Q338" s="452"/>
      <c r="R338" s="452"/>
      <c r="S338" s="452"/>
      <c r="T338" s="158"/>
    </row>
    <row r="339" spans="1:20" ht="12.75" customHeight="1" x14ac:dyDescent="0.3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1"/>
      <c r="N339" s="451"/>
      <c r="O339" s="452"/>
      <c r="P339" s="452"/>
      <c r="Q339" s="452"/>
      <c r="R339" s="452"/>
      <c r="S339" s="452"/>
      <c r="T339" s="158"/>
    </row>
    <row r="340" spans="1:20" ht="12.75" customHeight="1" x14ac:dyDescent="0.3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1"/>
      <c r="N340" s="451"/>
      <c r="O340" s="452"/>
      <c r="P340" s="452"/>
      <c r="Q340" s="452"/>
      <c r="R340" s="452"/>
      <c r="S340" s="452"/>
      <c r="T340" s="158"/>
    </row>
    <row r="341" spans="1:20" ht="12.75" customHeight="1" x14ac:dyDescent="0.3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/>
      <c r="M341" s="451"/>
      <c r="N341" s="451">
        <v>1</v>
      </c>
      <c r="O341" s="452">
        <v>1</v>
      </c>
      <c r="P341" s="452">
        <v>1</v>
      </c>
      <c r="Q341" s="452">
        <v>1</v>
      </c>
      <c r="R341" s="452"/>
      <c r="S341" s="452">
        <v>1</v>
      </c>
      <c r="T341" s="158"/>
    </row>
    <row r="342" spans="1:20" ht="12.75" customHeight="1" x14ac:dyDescent="0.3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/>
      <c r="M342" s="451"/>
      <c r="N342" s="451">
        <v>1</v>
      </c>
      <c r="O342" s="452">
        <v>1</v>
      </c>
      <c r="P342" s="452">
        <v>1</v>
      </c>
      <c r="Q342" s="452">
        <v>1</v>
      </c>
      <c r="R342" s="452"/>
      <c r="S342" s="452">
        <v>1</v>
      </c>
      <c r="T342" s="158"/>
    </row>
    <row r="343" spans="1:20" ht="12.75" customHeight="1" x14ac:dyDescent="0.3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/>
      <c r="M343" s="451"/>
      <c r="N343" s="451">
        <v>1</v>
      </c>
      <c r="O343" s="452">
        <v>1</v>
      </c>
      <c r="P343" s="452">
        <v>1</v>
      </c>
      <c r="Q343" s="452">
        <v>1</v>
      </c>
      <c r="R343" s="452"/>
      <c r="S343" s="452">
        <v>1</v>
      </c>
      <c r="T343" s="158"/>
    </row>
    <row r="344" spans="1:20" ht="12.75" customHeight="1" x14ac:dyDescent="0.3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339"/>
      <c r="N344" s="339"/>
      <c r="O344" s="282"/>
      <c r="P344" s="282"/>
      <c r="Q344" s="282"/>
      <c r="R344" s="282"/>
      <c r="S344" s="282"/>
      <c r="T344" s="158"/>
    </row>
    <row r="345" spans="1:20" ht="12.75" customHeight="1" x14ac:dyDescent="0.3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 t="s">
        <v>754</v>
      </c>
      <c r="M345" s="364"/>
      <c r="N345" s="364"/>
      <c r="O345" s="470"/>
      <c r="P345" s="470"/>
      <c r="Q345" s="470"/>
      <c r="R345" s="470"/>
      <c r="S345" s="470"/>
      <c r="T345" s="158"/>
    </row>
    <row r="346" spans="1:20" ht="12.75" customHeight="1" x14ac:dyDescent="0.3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339"/>
      <c r="N346" s="339"/>
      <c r="O346" s="282"/>
      <c r="P346" s="282"/>
      <c r="Q346" s="282"/>
      <c r="R346" s="282"/>
      <c r="S346" s="282"/>
      <c r="T346" s="158"/>
    </row>
    <row r="347" spans="1:20" ht="12.75" customHeight="1" x14ac:dyDescent="0.3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1"/>
      <c r="N347" s="451"/>
      <c r="O347" s="452"/>
      <c r="P347" s="452"/>
      <c r="Q347" s="452"/>
      <c r="R347" s="452"/>
      <c r="S347" s="452"/>
      <c r="T347" s="158"/>
    </row>
    <row r="348" spans="1:20" ht="12.75" customHeight="1" x14ac:dyDescent="0.3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1"/>
      <c r="N348" s="451"/>
      <c r="O348" s="452"/>
      <c r="P348" s="452"/>
      <c r="Q348" s="452"/>
      <c r="R348" s="452"/>
      <c r="S348" s="452"/>
      <c r="T348" s="158"/>
    </row>
    <row r="349" spans="1:20" ht="12.75" customHeight="1" x14ac:dyDescent="0.3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1"/>
      <c r="N349" s="451"/>
      <c r="O349" s="452"/>
      <c r="P349" s="452"/>
      <c r="Q349" s="452"/>
      <c r="R349" s="452"/>
      <c r="S349" s="452"/>
      <c r="T349" s="158"/>
    </row>
    <row r="350" spans="1:20" ht="12.75" customHeight="1" x14ac:dyDescent="0.3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1"/>
      <c r="N350" s="451"/>
      <c r="O350" s="452"/>
      <c r="P350" s="452"/>
      <c r="Q350" s="452"/>
      <c r="R350" s="452"/>
      <c r="S350" s="452"/>
      <c r="T350" s="158"/>
    </row>
    <row r="351" spans="1:20" ht="12.75" customHeight="1" x14ac:dyDescent="0.3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1"/>
      <c r="N351" s="451"/>
      <c r="O351" s="452"/>
      <c r="P351" s="452"/>
      <c r="Q351" s="452"/>
      <c r="R351" s="452"/>
      <c r="S351" s="452"/>
      <c r="T351" s="158"/>
    </row>
    <row r="352" spans="1:20" ht="12.75" customHeight="1" x14ac:dyDescent="0.3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1"/>
      <c r="N352" s="451"/>
      <c r="O352" s="452"/>
      <c r="P352" s="452"/>
      <c r="Q352" s="452"/>
      <c r="R352" s="452"/>
      <c r="S352" s="452"/>
      <c r="T352" s="158"/>
    </row>
    <row r="353" spans="1:20" ht="12.75" customHeight="1" x14ac:dyDescent="0.3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1"/>
      <c r="N353" s="451"/>
      <c r="O353" s="452"/>
      <c r="P353" s="452"/>
      <c r="Q353" s="452"/>
      <c r="R353" s="452"/>
      <c r="S353" s="452"/>
      <c r="T353" s="158"/>
    </row>
    <row r="354" spans="1:20" ht="12.75" customHeight="1" x14ac:dyDescent="0.3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1"/>
      <c r="N354" s="451"/>
      <c r="O354" s="452"/>
      <c r="P354" s="452"/>
      <c r="Q354" s="452"/>
      <c r="R354" s="452"/>
      <c r="S354" s="452"/>
      <c r="T354" s="158"/>
    </row>
    <row r="355" spans="1:20" ht="12.75" customHeight="1" x14ac:dyDescent="0.3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1"/>
      <c r="N355" s="451"/>
      <c r="O355" s="452"/>
      <c r="P355" s="452"/>
      <c r="Q355" s="452"/>
      <c r="R355" s="452"/>
      <c r="S355" s="452"/>
      <c r="T355" s="158"/>
    </row>
    <row r="356" spans="1:20" ht="12.75" customHeight="1" x14ac:dyDescent="0.3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1"/>
      <c r="N356" s="451"/>
      <c r="O356" s="452"/>
      <c r="P356" s="452"/>
      <c r="Q356" s="452"/>
      <c r="R356" s="452"/>
      <c r="S356" s="452"/>
      <c r="T356" s="158"/>
    </row>
    <row r="357" spans="1:20" ht="12.75" customHeight="1" x14ac:dyDescent="0.3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1"/>
      <c r="N357" s="451"/>
      <c r="O357" s="452"/>
      <c r="P357" s="452"/>
      <c r="Q357" s="452"/>
      <c r="R357" s="452"/>
      <c r="S357" s="452"/>
      <c r="T357" s="158"/>
    </row>
    <row r="358" spans="1:20" ht="12.75" customHeight="1" x14ac:dyDescent="0.3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1"/>
      <c r="N358" s="451"/>
      <c r="O358" s="452"/>
      <c r="P358" s="452"/>
      <c r="Q358" s="452"/>
      <c r="R358" s="452"/>
      <c r="S358" s="452"/>
      <c r="T358" s="158"/>
    </row>
    <row r="359" spans="1:20" ht="12.75" customHeight="1" x14ac:dyDescent="0.3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1"/>
      <c r="N359" s="451"/>
      <c r="O359" s="452"/>
      <c r="P359" s="452"/>
      <c r="Q359" s="452"/>
      <c r="R359" s="452"/>
      <c r="S359" s="452"/>
      <c r="T359" s="158"/>
    </row>
    <row r="360" spans="1:20" ht="12.75" customHeight="1" x14ac:dyDescent="0.3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1"/>
      <c r="N360" s="451"/>
      <c r="O360" s="452"/>
      <c r="P360" s="452"/>
      <c r="Q360" s="452"/>
      <c r="R360" s="452"/>
      <c r="S360" s="452"/>
      <c r="T360" s="158"/>
    </row>
    <row r="361" spans="1:20" ht="12.75" customHeight="1" x14ac:dyDescent="0.3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1"/>
      <c r="N361" s="451"/>
      <c r="O361" s="452"/>
      <c r="P361" s="452"/>
      <c r="Q361" s="452"/>
      <c r="R361" s="452"/>
      <c r="S361" s="452"/>
      <c r="T361" s="158"/>
    </row>
    <row r="362" spans="1:20" ht="12.75" customHeight="1" x14ac:dyDescent="0.3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1"/>
      <c r="N362" s="451"/>
      <c r="O362" s="452"/>
      <c r="P362" s="452"/>
      <c r="Q362" s="452"/>
      <c r="R362" s="452"/>
      <c r="S362" s="452"/>
      <c r="T362" s="158"/>
    </row>
    <row r="363" spans="1:20" ht="12.75" customHeight="1" x14ac:dyDescent="0.3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1"/>
      <c r="N363" s="451"/>
      <c r="O363" s="452"/>
      <c r="P363" s="452"/>
      <c r="Q363" s="452"/>
      <c r="R363" s="452"/>
      <c r="S363" s="452"/>
      <c r="T363" s="158"/>
    </row>
    <row r="364" spans="1:20" ht="12.75" customHeight="1" x14ac:dyDescent="0.3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1"/>
      <c r="N364" s="451"/>
      <c r="O364" s="452"/>
      <c r="P364" s="452"/>
      <c r="Q364" s="452"/>
      <c r="R364" s="452"/>
      <c r="S364" s="452"/>
      <c r="T364" s="158"/>
    </row>
    <row r="365" spans="1:20" ht="12.75" customHeight="1" x14ac:dyDescent="0.3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1"/>
      <c r="N365" s="451"/>
      <c r="O365" s="452"/>
      <c r="P365" s="452"/>
      <c r="Q365" s="452"/>
      <c r="R365" s="452"/>
      <c r="S365" s="452"/>
      <c r="T365" s="158"/>
    </row>
    <row r="366" spans="1:20" ht="12.75" customHeight="1" x14ac:dyDescent="0.3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1"/>
      <c r="N366" s="451"/>
      <c r="O366" s="452"/>
      <c r="P366" s="452"/>
      <c r="Q366" s="452"/>
      <c r="R366" s="452"/>
      <c r="S366" s="452"/>
      <c r="T366" s="158"/>
    </row>
    <row r="367" spans="1:20" ht="12.75" customHeight="1" x14ac:dyDescent="0.3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1"/>
      <c r="N367" s="451"/>
      <c r="O367" s="452"/>
      <c r="P367" s="452"/>
      <c r="Q367" s="452"/>
      <c r="R367" s="452"/>
      <c r="S367" s="452"/>
      <c r="T367" s="158"/>
    </row>
    <row r="368" spans="1:20" ht="12.75" customHeight="1" x14ac:dyDescent="0.3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1"/>
      <c r="N368" s="451"/>
      <c r="O368" s="452"/>
      <c r="P368" s="452"/>
      <c r="Q368" s="452"/>
      <c r="R368" s="452"/>
      <c r="S368" s="452"/>
      <c r="T368" s="158"/>
    </row>
    <row r="369" spans="1:20" ht="12.75" customHeight="1" x14ac:dyDescent="0.3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1"/>
      <c r="N369" s="451"/>
      <c r="O369" s="452"/>
      <c r="P369" s="452"/>
      <c r="Q369" s="452"/>
      <c r="R369" s="452"/>
      <c r="S369" s="452"/>
      <c r="T369" s="158"/>
    </row>
    <row r="370" spans="1:20" ht="12.75" customHeight="1" x14ac:dyDescent="0.3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1"/>
      <c r="N370" s="451"/>
      <c r="O370" s="452"/>
      <c r="P370" s="452"/>
      <c r="Q370" s="452"/>
      <c r="R370" s="452"/>
      <c r="S370" s="452"/>
      <c r="T370" s="158"/>
    </row>
    <row r="371" spans="1:20" ht="12.75" customHeight="1" x14ac:dyDescent="0.3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1"/>
      <c r="N371" s="451"/>
      <c r="O371" s="452"/>
      <c r="P371" s="452"/>
      <c r="Q371" s="452"/>
      <c r="R371" s="452"/>
      <c r="S371" s="452"/>
      <c r="T371" s="158"/>
    </row>
    <row r="372" spans="1:20" ht="12.75" customHeight="1" x14ac:dyDescent="0.3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1"/>
      <c r="N372" s="451"/>
      <c r="O372" s="452"/>
      <c r="P372" s="452"/>
      <c r="Q372" s="452"/>
      <c r="R372" s="452"/>
      <c r="S372" s="452"/>
      <c r="T372" s="158"/>
    </row>
    <row r="373" spans="1:20" ht="12.75" customHeight="1" x14ac:dyDescent="0.3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1"/>
      <c r="N373" s="451"/>
      <c r="O373" s="452"/>
      <c r="P373" s="452"/>
      <c r="Q373" s="452"/>
      <c r="R373" s="452"/>
      <c r="S373" s="452"/>
      <c r="T373" s="158"/>
    </row>
    <row r="374" spans="1:20" ht="12.75" customHeight="1" x14ac:dyDescent="0.3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1"/>
      <c r="N374" s="451"/>
      <c r="O374" s="452"/>
      <c r="P374" s="452"/>
      <c r="Q374" s="452"/>
      <c r="R374" s="452"/>
      <c r="S374" s="452"/>
      <c r="T374" s="158"/>
    </row>
    <row r="375" spans="1:20" ht="12.75" customHeight="1" x14ac:dyDescent="0.3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/>
      <c r="M375" s="451"/>
      <c r="N375" s="451">
        <v>1</v>
      </c>
      <c r="O375" s="452">
        <v>1</v>
      </c>
      <c r="P375" s="452">
        <v>1</v>
      </c>
      <c r="Q375" s="452">
        <v>1</v>
      </c>
      <c r="R375" s="452"/>
      <c r="S375" s="452">
        <v>1</v>
      </c>
      <c r="T375" s="158"/>
    </row>
    <row r="376" spans="1:20" ht="12.75" customHeight="1" x14ac:dyDescent="0.3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/>
      <c r="M376" s="451"/>
      <c r="N376" s="451">
        <v>1</v>
      </c>
      <c r="O376" s="452">
        <v>1</v>
      </c>
      <c r="P376" s="452">
        <v>1</v>
      </c>
      <c r="Q376" s="452">
        <v>1</v>
      </c>
      <c r="R376" s="452"/>
      <c r="S376" s="452">
        <v>1</v>
      </c>
      <c r="T376" s="158"/>
    </row>
    <row r="377" spans="1:20" ht="12.75" customHeight="1" x14ac:dyDescent="0.3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/>
      <c r="M377" s="451"/>
      <c r="N377" s="451">
        <v>1</v>
      </c>
      <c r="O377" s="452">
        <v>1</v>
      </c>
      <c r="P377" s="452">
        <v>1</v>
      </c>
      <c r="Q377" s="452">
        <v>1</v>
      </c>
      <c r="R377" s="452"/>
      <c r="S377" s="452">
        <v>1</v>
      </c>
      <c r="T377" s="158"/>
    </row>
    <row r="378" spans="1:20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356"/>
      <c r="N378" s="356"/>
      <c r="O378" s="471"/>
      <c r="P378" s="471"/>
      <c r="Q378" s="471"/>
      <c r="R378" s="471"/>
      <c r="S378" s="471"/>
      <c r="T378" s="158"/>
    </row>
    <row r="379" spans="1:20" ht="12.75" customHeight="1" x14ac:dyDescent="0.3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339"/>
      <c r="N379" s="339"/>
      <c r="O379" s="282"/>
      <c r="P379" s="282"/>
      <c r="Q379" s="282"/>
      <c r="R379" s="282"/>
      <c r="S379" s="282"/>
      <c r="T379" s="158"/>
    </row>
    <row r="380" spans="1:20" ht="12.75" customHeight="1" x14ac:dyDescent="0.3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339"/>
      <c r="N380" s="339"/>
      <c r="O380" s="282"/>
      <c r="P380" s="282"/>
      <c r="Q380" s="282"/>
      <c r="R380" s="282"/>
      <c r="S380" s="282"/>
      <c r="T380" s="158"/>
    </row>
    <row r="381" spans="1:20" ht="12.75" customHeight="1" x14ac:dyDescent="0.3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339"/>
      <c r="N381" s="339"/>
      <c r="O381" s="282"/>
      <c r="P381" s="282"/>
      <c r="Q381" s="282"/>
      <c r="R381" s="282"/>
      <c r="S381" s="282"/>
      <c r="T381" s="158"/>
    </row>
    <row r="382" spans="1:20" ht="12.75" customHeight="1" x14ac:dyDescent="0.3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 t="s">
        <v>754</v>
      </c>
      <c r="M382" s="364"/>
      <c r="N382" s="364"/>
      <c r="O382" s="470"/>
      <c r="P382" s="470"/>
      <c r="Q382" s="470"/>
      <c r="R382" s="470"/>
      <c r="S382" s="470"/>
      <c r="T382" s="158"/>
    </row>
    <row r="383" spans="1:20" ht="12.75" customHeight="1" x14ac:dyDescent="0.3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339"/>
      <c r="N383" s="339"/>
      <c r="O383" s="282"/>
      <c r="P383" s="282"/>
      <c r="Q383" s="282"/>
      <c r="R383" s="282"/>
      <c r="S383" s="282"/>
      <c r="T383" s="158"/>
    </row>
    <row r="384" spans="1:20" ht="12.75" customHeight="1" x14ac:dyDescent="0.3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1"/>
      <c r="N384" s="451"/>
      <c r="O384" s="452"/>
      <c r="P384" s="452"/>
      <c r="Q384" s="452"/>
      <c r="R384" s="452"/>
      <c r="S384" s="452"/>
      <c r="T384" s="158"/>
    </row>
    <row r="385" spans="1:20" ht="12.75" customHeight="1" x14ac:dyDescent="0.3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1"/>
      <c r="N385" s="451"/>
      <c r="O385" s="452"/>
      <c r="P385" s="452"/>
      <c r="Q385" s="452"/>
      <c r="R385" s="452"/>
      <c r="S385" s="452"/>
      <c r="T385" s="158"/>
    </row>
    <row r="386" spans="1:20" ht="12.75" customHeight="1" x14ac:dyDescent="0.3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1"/>
      <c r="N386" s="451"/>
      <c r="O386" s="452"/>
      <c r="P386" s="452"/>
      <c r="Q386" s="452"/>
      <c r="R386" s="452"/>
      <c r="S386" s="452"/>
      <c r="T386" s="158"/>
    </row>
    <row r="387" spans="1:20" ht="12.75" customHeight="1" x14ac:dyDescent="0.3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1"/>
      <c r="N387" s="451"/>
      <c r="O387" s="452"/>
      <c r="P387" s="452"/>
      <c r="Q387" s="452"/>
      <c r="R387" s="452"/>
      <c r="S387" s="452"/>
      <c r="T387" s="158"/>
    </row>
    <row r="388" spans="1:20" ht="12.75" customHeight="1" x14ac:dyDescent="0.3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1"/>
      <c r="N388" s="451"/>
      <c r="O388" s="452"/>
      <c r="P388" s="452"/>
      <c r="Q388" s="452"/>
      <c r="R388" s="452"/>
      <c r="S388" s="452"/>
      <c r="T388" s="158"/>
    </row>
    <row r="389" spans="1:20" ht="12.75" customHeight="1" x14ac:dyDescent="0.3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1"/>
      <c r="N389" s="451"/>
      <c r="O389" s="452"/>
      <c r="P389" s="452"/>
      <c r="Q389" s="452"/>
      <c r="R389" s="452"/>
      <c r="S389" s="452"/>
      <c r="T389" s="158"/>
    </row>
    <row r="390" spans="1:20" ht="12.75" customHeight="1" x14ac:dyDescent="0.3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1"/>
      <c r="N390" s="451"/>
      <c r="O390" s="452"/>
      <c r="P390" s="452"/>
      <c r="Q390" s="452"/>
      <c r="R390" s="452"/>
      <c r="S390" s="452"/>
      <c r="T390" s="158"/>
    </row>
    <row r="391" spans="1:20" ht="12.75" customHeight="1" x14ac:dyDescent="0.3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1"/>
      <c r="N391" s="451"/>
      <c r="O391" s="452"/>
      <c r="P391" s="452"/>
      <c r="Q391" s="452"/>
      <c r="R391" s="452"/>
      <c r="S391" s="452"/>
      <c r="T391" s="158"/>
    </row>
    <row r="392" spans="1:20" ht="12.75" customHeight="1" x14ac:dyDescent="0.3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1"/>
      <c r="N392" s="451"/>
      <c r="O392" s="452"/>
      <c r="P392" s="452"/>
      <c r="Q392" s="452"/>
      <c r="R392" s="452"/>
      <c r="S392" s="452"/>
      <c r="T392" s="158"/>
    </row>
    <row r="393" spans="1:20" ht="12.75" customHeight="1" x14ac:dyDescent="0.3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1"/>
      <c r="N393" s="451"/>
      <c r="O393" s="452"/>
      <c r="P393" s="452"/>
      <c r="Q393" s="452"/>
      <c r="R393" s="452"/>
      <c r="S393" s="452"/>
      <c r="T393" s="158"/>
    </row>
    <row r="394" spans="1:20" ht="12.75" customHeight="1" x14ac:dyDescent="0.3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1"/>
      <c r="N394" s="451"/>
      <c r="O394" s="452"/>
      <c r="P394" s="452"/>
      <c r="Q394" s="452"/>
      <c r="R394" s="452"/>
      <c r="S394" s="452"/>
      <c r="T394" s="158"/>
    </row>
    <row r="395" spans="1:20" ht="12.75" customHeight="1" x14ac:dyDescent="0.3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1"/>
      <c r="N395" s="451"/>
      <c r="O395" s="452"/>
      <c r="P395" s="452"/>
      <c r="Q395" s="452"/>
      <c r="R395" s="452"/>
      <c r="S395" s="452"/>
      <c r="T395" s="158"/>
    </row>
    <row r="396" spans="1:20" ht="12.75" customHeight="1" x14ac:dyDescent="0.3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1"/>
      <c r="N396" s="451"/>
      <c r="O396" s="452"/>
      <c r="P396" s="452"/>
      <c r="Q396" s="452"/>
      <c r="R396" s="452"/>
      <c r="S396" s="452"/>
      <c r="T396" s="158"/>
    </row>
    <row r="397" spans="1:20" ht="12.75" customHeight="1" x14ac:dyDescent="0.3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1"/>
      <c r="N397" s="451"/>
      <c r="O397" s="452"/>
      <c r="P397" s="452"/>
      <c r="Q397" s="452"/>
      <c r="R397" s="452"/>
      <c r="S397" s="452"/>
      <c r="T397" s="158"/>
    </row>
    <row r="398" spans="1:20" ht="12.75" customHeight="1" x14ac:dyDescent="0.3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1"/>
      <c r="N398" s="451"/>
      <c r="O398" s="452"/>
      <c r="P398" s="452"/>
      <c r="Q398" s="452"/>
      <c r="R398" s="452"/>
      <c r="S398" s="452"/>
      <c r="T398" s="158"/>
    </row>
    <row r="399" spans="1:20" ht="12.75" customHeight="1" x14ac:dyDescent="0.3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1"/>
      <c r="N399" s="451"/>
      <c r="O399" s="452"/>
      <c r="P399" s="452"/>
      <c r="Q399" s="452"/>
      <c r="R399" s="452"/>
      <c r="S399" s="452"/>
      <c r="T399" s="158"/>
    </row>
    <row r="400" spans="1:20" ht="12.75" customHeight="1" x14ac:dyDescent="0.3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1"/>
      <c r="N400" s="451"/>
      <c r="O400" s="452"/>
      <c r="P400" s="452"/>
      <c r="Q400" s="452"/>
      <c r="R400" s="452"/>
      <c r="S400" s="452"/>
      <c r="T400" s="158"/>
    </row>
    <row r="401" spans="1:20" ht="12.75" customHeight="1" x14ac:dyDescent="0.3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1"/>
      <c r="N401" s="451"/>
      <c r="O401" s="452"/>
      <c r="P401" s="452"/>
      <c r="Q401" s="452"/>
      <c r="R401" s="452"/>
      <c r="S401" s="452"/>
      <c r="T401" s="158"/>
    </row>
    <row r="402" spans="1:20" ht="12.75" customHeight="1" x14ac:dyDescent="0.3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1"/>
      <c r="N402" s="451"/>
      <c r="O402" s="452"/>
      <c r="P402" s="452"/>
      <c r="Q402" s="452"/>
      <c r="R402" s="452"/>
      <c r="S402" s="452"/>
      <c r="T402" s="158"/>
    </row>
    <row r="403" spans="1:20" ht="12.75" customHeight="1" x14ac:dyDescent="0.3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1"/>
      <c r="N403" s="451"/>
      <c r="O403" s="452"/>
      <c r="P403" s="452"/>
      <c r="Q403" s="452"/>
      <c r="R403" s="452"/>
      <c r="S403" s="452"/>
      <c r="T403" s="158"/>
    </row>
    <row r="404" spans="1:20" ht="12.75" customHeight="1" x14ac:dyDescent="0.3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1"/>
      <c r="N404" s="451"/>
      <c r="O404" s="452"/>
      <c r="P404" s="452"/>
      <c r="Q404" s="452"/>
      <c r="R404" s="452"/>
      <c r="S404" s="452"/>
      <c r="T404" s="158"/>
    </row>
    <row r="405" spans="1:20" ht="12.75" customHeight="1" x14ac:dyDescent="0.3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1"/>
      <c r="N405" s="451"/>
      <c r="O405" s="452"/>
      <c r="P405" s="452"/>
      <c r="Q405" s="452"/>
      <c r="R405" s="452"/>
      <c r="S405" s="452"/>
      <c r="T405" s="158"/>
    </row>
    <row r="406" spans="1:20" ht="12.75" customHeight="1" x14ac:dyDescent="0.3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1"/>
      <c r="N406" s="451"/>
      <c r="O406" s="452"/>
      <c r="P406" s="452"/>
      <c r="Q406" s="452"/>
      <c r="R406" s="452"/>
      <c r="S406" s="452"/>
      <c r="T406" s="158"/>
    </row>
    <row r="407" spans="1:20" ht="12.75" customHeight="1" x14ac:dyDescent="0.3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1"/>
      <c r="N407" s="451"/>
      <c r="O407" s="452"/>
      <c r="P407" s="452"/>
      <c r="Q407" s="452"/>
      <c r="R407" s="452"/>
      <c r="S407" s="452"/>
      <c r="T407" s="158"/>
    </row>
    <row r="408" spans="1:20" ht="12.75" customHeight="1" x14ac:dyDescent="0.3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1"/>
      <c r="N408" s="451"/>
      <c r="O408" s="452"/>
      <c r="P408" s="452"/>
      <c r="Q408" s="452"/>
      <c r="R408" s="452"/>
      <c r="S408" s="452"/>
      <c r="T408" s="158"/>
    </row>
    <row r="409" spans="1:20" ht="12.75" customHeight="1" x14ac:dyDescent="0.3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/>
      <c r="M409" s="451"/>
      <c r="N409" s="451">
        <v>4.9999999999999995E-11</v>
      </c>
      <c r="O409" s="452">
        <v>4.9999999999999995E-11</v>
      </c>
      <c r="P409" s="452">
        <v>4.9999999999999995E-11</v>
      </c>
      <c r="Q409" s="452">
        <v>4.9999999999999995E-11</v>
      </c>
      <c r="R409" s="452">
        <v>4.9999999999999995E-11</v>
      </c>
      <c r="S409" s="452"/>
      <c r="T409" s="158"/>
    </row>
    <row r="410" spans="1:20" ht="12.75" customHeight="1" x14ac:dyDescent="0.3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/>
      <c r="M410" s="451"/>
      <c r="N410" s="451">
        <v>9.9999999999999995E-21</v>
      </c>
      <c r="O410" s="452">
        <v>9.9999999999999995E-21</v>
      </c>
      <c r="P410" s="452">
        <v>9.9999999999999995E-21</v>
      </c>
      <c r="Q410" s="452">
        <v>9.9999999999999995E-21</v>
      </c>
      <c r="R410" s="452">
        <v>9.9999999999999995E-21</v>
      </c>
      <c r="S410" s="452"/>
      <c r="T410" s="158"/>
    </row>
    <row r="411" spans="1:20" ht="12.75" customHeight="1" x14ac:dyDescent="0.3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1"/>
      <c r="N411" s="451"/>
      <c r="O411" s="452"/>
      <c r="P411" s="452"/>
      <c r="Q411" s="452"/>
      <c r="R411" s="452"/>
      <c r="S411" s="452"/>
      <c r="T411" s="158"/>
    </row>
    <row r="412" spans="1:20" ht="12.75" customHeight="1" x14ac:dyDescent="0.3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1"/>
      <c r="N412" s="451"/>
      <c r="O412" s="452"/>
      <c r="P412" s="452"/>
      <c r="Q412" s="452"/>
      <c r="R412" s="452"/>
      <c r="S412" s="452"/>
      <c r="T412" s="158"/>
    </row>
    <row r="413" spans="1:20" ht="12.75" customHeight="1" x14ac:dyDescent="0.3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1"/>
      <c r="N413" s="451"/>
      <c r="O413" s="452"/>
      <c r="P413" s="452"/>
      <c r="Q413" s="452"/>
      <c r="R413" s="452"/>
      <c r="S413" s="452"/>
      <c r="T413" s="158"/>
    </row>
    <row r="414" spans="1:20" ht="12.75" customHeight="1" x14ac:dyDescent="0.3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1"/>
      <c r="N414" s="451"/>
      <c r="O414" s="452"/>
      <c r="P414" s="452"/>
      <c r="Q414" s="452"/>
      <c r="R414" s="452"/>
      <c r="S414" s="452"/>
      <c r="T414" s="158"/>
    </row>
    <row r="415" spans="1:20" ht="12.75" customHeight="1" x14ac:dyDescent="0.3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1"/>
      <c r="N415" s="451"/>
      <c r="O415" s="452"/>
      <c r="P415" s="452"/>
      <c r="Q415" s="452"/>
      <c r="R415" s="452"/>
      <c r="S415" s="452"/>
      <c r="T415" s="158"/>
    </row>
    <row r="416" spans="1:20" ht="12.75" customHeight="1" x14ac:dyDescent="0.3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1"/>
      <c r="N416" s="451"/>
      <c r="O416" s="452"/>
      <c r="P416" s="452"/>
      <c r="Q416" s="452"/>
      <c r="R416" s="452"/>
      <c r="S416" s="452"/>
      <c r="T416" s="158"/>
    </row>
    <row r="417" spans="1:20" ht="12.75" customHeight="1" x14ac:dyDescent="0.3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1"/>
      <c r="N417" s="451"/>
      <c r="O417" s="452"/>
      <c r="P417" s="452"/>
      <c r="Q417" s="452"/>
      <c r="R417" s="452"/>
      <c r="S417" s="452"/>
      <c r="T417" s="158"/>
    </row>
    <row r="418" spans="1:20" ht="12.75" customHeight="1" x14ac:dyDescent="0.3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1"/>
      <c r="N418" s="451"/>
      <c r="O418" s="452"/>
      <c r="P418" s="452"/>
      <c r="Q418" s="452"/>
      <c r="R418" s="452"/>
      <c r="S418" s="452"/>
      <c r="T418" s="158"/>
    </row>
    <row r="419" spans="1:20" ht="12.75" customHeight="1" x14ac:dyDescent="0.3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1"/>
      <c r="N419" s="451"/>
      <c r="O419" s="452"/>
      <c r="P419" s="452"/>
      <c r="Q419" s="452"/>
      <c r="R419" s="452"/>
      <c r="S419" s="452"/>
      <c r="T419" s="158"/>
    </row>
    <row r="420" spans="1:20" ht="12.75" customHeight="1" x14ac:dyDescent="0.3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1"/>
      <c r="N420" s="451"/>
      <c r="O420" s="452"/>
      <c r="P420" s="452"/>
      <c r="Q420" s="452"/>
      <c r="R420" s="452"/>
      <c r="S420" s="452"/>
      <c r="T420" s="158"/>
    </row>
    <row r="421" spans="1:20" ht="12.75" customHeight="1" x14ac:dyDescent="0.3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1"/>
      <c r="N421" s="451"/>
      <c r="O421" s="452"/>
      <c r="P421" s="452"/>
      <c r="Q421" s="452"/>
      <c r="R421" s="452"/>
      <c r="S421" s="452"/>
      <c r="T421" s="158"/>
    </row>
    <row r="422" spans="1:20" ht="12.75" customHeight="1" x14ac:dyDescent="0.3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59"/>
      <c r="N422" s="459"/>
      <c r="O422" s="460"/>
      <c r="P422" s="460"/>
      <c r="Q422" s="460"/>
      <c r="R422" s="460"/>
      <c r="S422" s="460"/>
      <c r="T422" s="158"/>
    </row>
    <row r="423" spans="1:20" ht="12.75" customHeight="1" x14ac:dyDescent="0.3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1"/>
      <c r="N423" s="451"/>
      <c r="O423" s="452"/>
      <c r="P423" s="452"/>
      <c r="Q423" s="452"/>
      <c r="R423" s="452"/>
      <c r="S423" s="452"/>
      <c r="T423" s="158"/>
    </row>
    <row r="424" spans="1:20" ht="12.75" customHeight="1" x14ac:dyDescent="0.3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1"/>
      <c r="N424" s="451"/>
      <c r="O424" s="452"/>
      <c r="P424" s="452"/>
      <c r="Q424" s="452"/>
      <c r="R424" s="452"/>
      <c r="S424" s="452"/>
      <c r="T424" s="158"/>
    </row>
    <row r="425" spans="1:20" ht="12.75" customHeight="1" x14ac:dyDescent="0.3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1"/>
      <c r="N425" s="451"/>
      <c r="O425" s="452"/>
      <c r="P425" s="452"/>
      <c r="Q425" s="452"/>
      <c r="R425" s="452"/>
      <c r="S425" s="452"/>
      <c r="T425" s="158"/>
    </row>
    <row r="426" spans="1:20" ht="12.75" customHeight="1" x14ac:dyDescent="0.3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59"/>
      <c r="N426" s="459"/>
      <c r="O426" s="460"/>
      <c r="P426" s="460"/>
      <c r="Q426" s="460"/>
      <c r="R426" s="460"/>
      <c r="S426" s="460"/>
      <c r="T426" s="158"/>
    </row>
    <row r="427" spans="1:20" ht="12.75" customHeight="1" x14ac:dyDescent="0.3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1"/>
      <c r="N427" s="451"/>
      <c r="O427" s="452"/>
      <c r="P427" s="452"/>
      <c r="Q427" s="452"/>
      <c r="R427" s="452"/>
      <c r="S427" s="452"/>
      <c r="T427" s="158"/>
    </row>
    <row r="428" spans="1:20" ht="12.75" customHeight="1" x14ac:dyDescent="0.3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1"/>
      <c r="N428" s="451"/>
      <c r="O428" s="452"/>
      <c r="P428" s="452"/>
      <c r="Q428" s="452"/>
      <c r="R428" s="452"/>
      <c r="S428" s="452"/>
      <c r="T428" s="158"/>
    </row>
    <row r="429" spans="1:20" ht="12.75" customHeight="1" x14ac:dyDescent="0.3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1"/>
      <c r="N429" s="451"/>
      <c r="O429" s="452"/>
      <c r="P429" s="452"/>
      <c r="Q429" s="452"/>
      <c r="R429" s="452"/>
      <c r="S429" s="452"/>
      <c r="T429" s="158"/>
    </row>
    <row r="430" spans="1:20" ht="12.75" customHeight="1" x14ac:dyDescent="0.3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1"/>
      <c r="N430" s="451"/>
      <c r="O430" s="452"/>
      <c r="P430" s="452"/>
      <c r="Q430" s="452"/>
      <c r="R430" s="452"/>
      <c r="S430" s="452"/>
      <c r="T430" s="158"/>
    </row>
    <row r="431" spans="1:20" ht="12.75" customHeight="1" x14ac:dyDescent="0.3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1"/>
      <c r="N431" s="451"/>
      <c r="O431" s="452"/>
      <c r="P431" s="452"/>
      <c r="Q431" s="452"/>
      <c r="R431" s="452"/>
      <c r="S431" s="452"/>
      <c r="T431" s="158"/>
    </row>
    <row r="432" spans="1:20" ht="12.75" customHeight="1" x14ac:dyDescent="0.3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1"/>
      <c r="N432" s="451"/>
      <c r="O432" s="452"/>
      <c r="P432" s="452"/>
      <c r="Q432" s="452"/>
      <c r="R432" s="452"/>
      <c r="S432" s="452"/>
      <c r="T432" s="158"/>
    </row>
    <row r="433" spans="1:20" ht="12.75" customHeight="1" x14ac:dyDescent="0.3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1"/>
      <c r="N433" s="451"/>
      <c r="O433" s="452"/>
      <c r="P433" s="452"/>
      <c r="Q433" s="452"/>
      <c r="R433" s="452"/>
      <c r="S433" s="452"/>
      <c r="T433" s="158"/>
    </row>
    <row r="434" spans="1:20" ht="12.75" customHeight="1" x14ac:dyDescent="0.3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1"/>
      <c r="N434" s="451"/>
      <c r="O434" s="452"/>
      <c r="P434" s="452"/>
      <c r="Q434" s="452"/>
      <c r="R434" s="452"/>
      <c r="S434" s="452"/>
      <c r="T434" s="158"/>
    </row>
    <row r="435" spans="1:20" ht="12.75" customHeight="1" x14ac:dyDescent="0.3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1"/>
      <c r="N435" s="451"/>
      <c r="O435" s="452"/>
      <c r="P435" s="452"/>
      <c r="Q435" s="452"/>
      <c r="R435" s="452"/>
      <c r="S435" s="452"/>
      <c r="T435" s="158"/>
    </row>
    <row r="436" spans="1:20" ht="12.75" customHeight="1" x14ac:dyDescent="0.3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1"/>
      <c r="N436" s="451"/>
      <c r="O436" s="452"/>
      <c r="P436" s="452"/>
      <c r="Q436" s="452"/>
      <c r="R436" s="452"/>
      <c r="S436" s="452"/>
      <c r="T436" s="158"/>
    </row>
    <row r="437" spans="1:20" ht="12.75" customHeight="1" x14ac:dyDescent="0.3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1"/>
      <c r="N437" s="451"/>
      <c r="O437" s="452"/>
      <c r="P437" s="452"/>
      <c r="Q437" s="452"/>
      <c r="R437" s="452"/>
      <c r="S437" s="452"/>
      <c r="T437" s="158"/>
    </row>
    <row r="438" spans="1:20" ht="12.75" customHeight="1" x14ac:dyDescent="0.3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1"/>
      <c r="N438" s="451"/>
      <c r="O438" s="452"/>
      <c r="P438" s="452"/>
      <c r="Q438" s="452"/>
      <c r="R438" s="452"/>
      <c r="S438" s="452"/>
      <c r="T438" s="158"/>
    </row>
    <row r="439" spans="1:20" ht="12.75" customHeight="1" x14ac:dyDescent="0.3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1"/>
      <c r="N439" s="451"/>
      <c r="O439" s="452"/>
      <c r="P439" s="452"/>
      <c r="Q439" s="452"/>
      <c r="R439" s="452"/>
      <c r="S439" s="452"/>
      <c r="T439" s="158"/>
    </row>
    <row r="440" spans="1:20" ht="12.75" customHeight="1" x14ac:dyDescent="0.3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1"/>
      <c r="N440" s="451"/>
      <c r="O440" s="452"/>
      <c r="P440" s="452"/>
      <c r="Q440" s="452"/>
      <c r="R440" s="452"/>
      <c r="S440" s="452"/>
      <c r="T440" s="158"/>
    </row>
    <row r="441" spans="1:20" ht="12.75" customHeight="1" x14ac:dyDescent="0.3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1"/>
      <c r="N441" s="451"/>
      <c r="O441" s="452"/>
      <c r="P441" s="452"/>
      <c r="Q441" s="452"/>
      <c r="R441" s="452"/>
      <c r="S441" s="452"/>
      <c r="T441" s="158"/>
    </row>
    <row r="442" spans="1:20" ht="12.75" customHeight="1" x14ac:dyDescent="0.3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339"/>
      <c r="N442" s="339"/>
      <c r="O442" s="282"/>
      <c r="P442" s="282"/>
      <c r="Q442" s="282"/>
      <c r="R442" s="282"/>
      <c r="S442" s="282"/>
      <c r="T442" s="158"/>
    </row>
    <row r="443" spans="1:20" ht="12.75" customHeight="1" x14ac:dyDescent="0.3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 t="s">
        <v>754</v>
      </c>
      <c r="M443" s="364"/>
      <c r="N443" s="364"/>
      <c r="O443" s="470"/>
      <c r="P443" s="470"/>
      <c r="Q443" s="470"/>
      <c r="R443" s="470"/>
      <c r="S443" s="470"/>
      <c r="T443" s="158"/>
    </row>
    <row r="444" spans="1:20" ht="12.75" customHeight="1" x14ac:dyDescent="0.3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1"/>
      <c r="N444" s="321"/>
      <c r="O444" s="323"/>
      <c r="P444" s="323"/>
      <c r="Q444" s="323"/>
      <c r="R444" s="323"/>
      <c r="S444" s="323"/>
      <c r="T444" s="158"/>
    </row>
    <row r="445" spans="1:20" ht="12.75" customHeight="1" x14ac:dyDescent="0.3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/>
      <c r="M445" s="451"/>
      <c r="N445" s="451">
        <f t="shared" ref="N445:R445" si="6">1-(0.0000258)/(IF(Tm&gt;298,EXP(-6.79*(1-Tm/298))*Pvap25*EXP((H0vap/8.314)*(1/298-1/TEMP.C)),Pvap25*EXP((H0vap/8.314)*(1/298-1/TEMP.C)))+(0.0000258))</f>
        <v>0.99997877209453978</v>
      </c>
      <c r="O445" s="452">
        <f t="shared" si="6"/>
        <v>0.99997877209453978</v>
      </c>
      <c r="P445" s="452">
        <f t="shared" si="6"/>
        <v>0.99997877209453978</v>
      </c>
      <c r="Q445" s="452">
        <f t="shared" si="6"/>
        <v>0.99997877209453978</v>
      </c>
      <c r="R445" s="452">
        <f t="shared" si="6"/>
        <v>0.99997877209453978</v>
      </c>
      <c r="S445" s="452"/>
      <c r="T445" s="158"/>
    </row>
    <row r="446" spans="1:20" ht="12.75" customHeight="1" x14ac:dyDescent="0.3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1"/>
      <c r="N446" s="451"/>
      <c r="O446" s="452"/>
      <c r="P446" s="452"/>
      <c r="Q446" s="452"/>
      <c r="R446" s="452"/>
      <c r="S446" s="452"/>
      <c r="T446" s="158"/>
    </row>
    <row r="447" spans="1:20" ht="12.75" customHeight="1" x14ac:dyDescent="0.3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/>
      <c r="M447" s="451"/>
      <c r="N447" s="451">
        <f t="shared" ref="N447:R447" si="7">(0.0000258)/(IF(Tm&gt;298,EXP(-6.79*(1-Tm/298))*Pvap25*EXP((H0vap/8.314)*(1/298-1/TEMP.C)),Pvap25*EXP((H0vap/8.314)*(1/298-1/TEMP.C)))+(0.0000258))</f>
        <v>2.1227905460237186E-5</v>
      </c>
      <c r="O447" s="452">
        <f t="shared" si="7"/>
        <v>2.1227905460237186E-5</v>
      </c>
      <c r="P447" s="452">
        <f t="shared" si="7"/>
        <v>2.1227905460237186E-5</v>
      </c>
      <c r="Q447" s="452">
        <f t="shared" si="7"/>
        <v>2.1227905460237186E-5</v>
      </c>
      <c r="R447" s="452">
        <f t="shared" si="7"/>
        <v>2.1227905460237186E-5</v>
      </c>
      <c r="S447" s="452"/>
      <c r="T447" s="158"/>
    </row>
    <row r="448" spans="1:20" ht="12.75" customHeight="1" x14ac:dyDescent="0.3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1"/>
      <c r="N448" s="451"/>
      <c r="O448" s="452"/>
      <c r="P448" s="452"/>
      <c r="Q448" s="452"/>
      <c r="R448" s="452"/>
      <c r="S448" s="452"/>
      <c r="T448" s="158"/>
    </row>
    <row r="449" spans="1:20" ht="12.75" customHeight="1" x14ac:dyDescent="0.3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1"/>
      <c r="N449" s="451"/>
      <c r="O449" s="452"/>
      <c r="P449" s="452"/>
      <c r="Q449" s="452"/>
      <c r="R449" s="452"/>
      <c r="S449" s="452"/>
      <c r="T449" s="158"/>
    </row>
    <row r="450" spans="1:20" ht="12.75" customHeight="1" x14ac:dyDescent="0.3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1"/>
      <c r="N450" s="451"/>
      <c r="O450" s="452"/>
      <c r="P450" s="452"/>
      <c r="Q450" s="452"/>
      <c r="R450" s="452"/>
      <c r="S450" s="452"/>
      <c r="T450" s="158"/>
    </row>
    <row r="451" spans="1:20" ht="12.75" customHeight="1" x14ac:dyDescent="0.3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/>
      <c r="M451" s="451"/>
      <c r="N451" s="451">
        <f t="shared" ref="N451:R451" si="8">1/(1+Kp.susp0C*SUSP.w0C/1000+0.05*Kow*0.001/1000)</f>
        <v>0.99750533889795012</v>
      </c>
      <c r="O451" s="452">
        <f t="shared" si="8"/>
        <v>0.99750533889795012</v>
      </c>
      <c r="P451" s="452">
        <f t="shared" si="8"/>
        <v>0.99750533889795012</v>
      </c>
      <c r="Q451" s="452">
        <f t="shared" si="8"/>
        <v>0.99750533889795012</v>
      </c>
      <c r="R451" s="452">
        <f t="shared" si="8"/>
        <v>0.99750533889795012</v>
      </c>
      <c r="S451" s="452"/>
      <c r="T451" s="158"/>
    </row>
    <row r="452" spans="1:20" ht="12.75" customHeight="1" x14ac:dyDescent="0.3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1"/>
      <c r="N452" s="451"/>
      <c r="O452" s="452"/>
      <c r="P452" s="452"/>
      <c r="Q452" s="452"/>
      <c r="R452" s="452"/>
      <c r="S452" s="452"/>
      <c r="T452" s="158"/>
    </row>
    <row r="453" spans="1:20" ht="12.75" customHeight="1" x14ac:dyDescent="0.3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1"/>
      <c r="N453" s="451"/>
      <c r="O453" s="452"/>
      <c r="P453" s="452"/>
      <c r="Q453" s="452"/>
      <c r="R453" s="452"/>
      <c r="S453" s="452"/>
      <c r="T453" s="158"/>
    </row>
    <row r="454" spans="1:20" ht="12.75" customHeight="1" x14ac:dyDescent="0.3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1"/>
      <c r="N454" s="451"/>
      <c r="O454" s="452"/>
      <c r="P454" s="452"/>
      <c r="Q454" s="452"/>
      <c r="R454" s="452"/>
      <c r="S454" s="452"/>
      <c r="T454" s="158"/>
    </row>
    <row r="455" spans="1:20" ht="12.75" customHeight="1" x14ac:dyDescent="0.3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1"/>
      <c r="N455" s="451"/>
      <c r="O455" s="452"/>
      <c r="P455" s="452"/>
      <c r="Q455" s="452"/>
      <c r="R455" s="452"/>
      <c r="S455" s="452"/>
      <c r="T455" s="158"/>
    </row>
    <row r="456" spans="1:20" ht="12.75" customHeight="1" x14ac:dyDescent="0.3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1"/>
      <c r="N456" s="451"/>
      <c r="O456" s="452"/>
      <c r="P456" s="452"/>
      <c r="Q456" s="452"/>
      <c r="R456" s="452"/>
      <c r="S456" s="452"/>
      <c r="T456" s="158"/>
    </row>
    <row r="457" spans="1:20" ht="12.75" customHeight="1" x14ac:dyDescent="0.3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/>
      <c r="M457" s="451"/>
      <c r="N457" s="451">
        <f t="shared" ref="N457:R457" si="9">1/(1+Kp.susp1C*SUSP.w1C/1000+0.05*Kow*0.001/1000)</f>
        <v>0.9302317793408359</v>
      </c>
      <c r="O457" s="452">
        <f t="shared" si="9"/>
        <v>0.9302317793408359</v>
      </c>
      <c r="P457" s="452">
        <f t="shared" si="9"/>
        <v>0.9302317793408359</v>
      </c>
      <c r="Q457" s="452">
        <f t="shared" si="9"/>
        <v>0.9302317793408359</v>
      </c>
      <c r="R457" s="452">
        <f t="shared" si="9"/>
        <v>0.9302317793408359</v>
      </c>
      <c r="S457" s="452"/>
      <c r="T457" s="158"/>
    </row>
    <row r="458" spans="1:20" ht="12.75" customHeight="1" x14ac:dyDescent="0.3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1"/>
      <c r="N458" s="451"/>
      <c r="O458" s="452"/>
      <c r="P458" s="452"/>
      <c r="Q458" s="452"/>
      <c r="R458" s="452"/>
      <c r="S458" s="452"/>
      <c r="T458" s="158"/>
    </row>
    <row r="459" spans="1:20" ht="12.75" customHeight="1" x14ac:dyDescent="0.3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1"/>
      <c r="N459" s="451"/>
      <c r="O459" s="452"/>
      <c r="P459" s="452"/>
      <c r="Q459" s="452"/>
      <c r="R459" s="452"/>
      <c r="S459" s="452"/>
      <c r="T459" s="158"/>
    </row>
    <row r="460" spans="1:20" ht="12.75" customHeight="1" x14ac:dyDescent="0.3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1"/>
      <c r="N460" s="451"/>
      <c r="O460" s="452"/>
      <c r="P460" s="452"/>
      <c r="Q460" s="452"/>
      <c r="R460" s="452"/>
      <c r="S460" s="452"/>
      <c r="T460" s="158"/>
    </row>
    <row r="461" spans="1:20" ht="12.75" customHeight="1" x14ac:dyDescent="0.3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1"/>
      <c r="N461" s="451"/>
      <c r="O461" s="452"/>
      <c r="P461" s="452"/>
      <c r="Q461" s="452"/>
      <c r="R461" s="452"/>
      <c r="S461" s="452"/>
      <c r="T461" s="158"/>
    </row>
    <row r="462" spans="1:20" ht="12.75" customHeight="1" x14ac:dyDescent="0.3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1"/>
      <c r="N462" s="451"/>
      <c r="O462" s="452"/>
      <c r="P462" s="452"/>
      <c r="Q462" s="452"/>
      <c r="R462" s="452"/>
      <c r="S462" s="452"/>
      <c r="T462" s="158"/>
    </row>
    <row r="463" spans="1:20" ht="12.75" customHeight="1" x14ac:dyDescent="0.3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/>
      <c r="M463" s="451"/>
      <c r="N463" s="451">
        <f t="shared" ref="N463:R463" si="10">1/(1+Kp.susp2C*SUSP.w2C/1000+0.05*Kow*0.001/1000)</f>
        <v>0.97560889946535656</v>
      </c>
      <c r="O463" s="452">
        <f t="shared" si="10"/>
        <v>0.97560889946535656</v>
      </c>
      <c r="P463" s="452">
        <f t="shared" si="10"/>
        <v>0.97560889946535656</v>
      </c>
      <c r="Q463" s="452">
        <f t="shared" si="10"/>
        <v>0.97560889946535656</v>
      </c>
      <c r="R463" s="452">
        <f t="shared" si="10"/>
        <v>0.97560889946535656</v>
      </c>
      <c r="S463" s="452"/>
      <c r="T463" s="158"/>
    </row>
    <row r="464" spans="1:20" ht="12.75" customHeight="1" x14ac:dyDescent="0.3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1"/>
      <c r="N464" s="451"/>
      <c r="O464" s="452"/>
      <c r="P464" s="452"/>
      <c r="Q464" s="452"/>
      <c r="R464" s="452"/>
      <c r="S464" s="452"/>
      <c r="T464" s="158"/>
    </row>
    <row r="465" spans="1:20" ht="12.75" customHeight="1" x14ac:dyDescent="0.3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1"/>
      <c r="N465" s="451"/>
      <c r="O465" s="452"/>
      <c r="P465" s="452"/>
      <c r="Q465" s="452"/>
      <c r="R465" s="452"/>
      <c r="S465" s="452"/>
      <c r="T465" s="158"/>
    </row>
    <row r="466" spans="1:20" ht="12.75" customHeight="1" x14ac:dyDescent="0.3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1"/>
      <c r="N466" s="451"/>
      <c r="O466" s="452"/>
      <c r="P466" s="452"/>
      <c r="Q466" s="452"/>
      <c r="R466" s="452"/>
      <c r="S466" s="452"/>
      <c r="T466" s="158"/>
    </row>
    <row r="467" spans="1:20" ht="12.75" customHeight="1" x14ac:dyDescent="0.3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1"/>
      <c r="N467" s="451"/>
      <c r="O467" s="452"/>
      <c r="P467" s="452"/>
      <c r="Q467" s="452"/>
      <c r="R467" s="452"/>
      <c r="S467" s="452"/>
      <c r="T467" s="158"/>
    </row>
    <row r="468" spans="1:20" ht="12.75" customHeight="1" x14ac:dyDescent="0.3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1"/>
      <c r="N468" s="451"/>
      <c r="O468" s="452"/>
      <c r="P468" s="452"/>
      <c r="Q468" s="452"/>
      <c r="R468" s="452"/>
      <c r="S468" s="452"/>
      <c r="T468" s="158"/>
    </row>
    <row r="469" spans="1:20" ht="12.75" customHeight="1" x14ac:dyDescent="0.3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1"/>
      <c r="N469" s="451"/>
      <c r="O469" s="452"/>
      <c r="P469" s="452"/>
      <c r="Q469" s="452"/>
      <c r="R469" s="452"/>
      <c r="S469" s="452"/>
      <c r="T469" s="158"/>
    </row>
    <row r="470" spans="1:20" ht="12.75" customHeight="1" x14ac:dyDescent="0.3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1"/>
      <c r="N470" s="451"/>
      <c r="O470" s="452"/>
      <c r="P470" s="452"/>
      <c r="Q470" s="452"/>
      <c r="R470" s="452"/>
      <c r="S470" s="452"/>
      <c r="T470" s="158"/>
    </row>
    <row r="471" spans="1:20" ht="12.75" customHeight="1" x14ac:dyDescent="0.3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1"/>
      <c r="N471" s="451"/>
      <c r="O471" s="452"/>
      <c r="P471" s="452"/>
      <c r="Q471" s="452"/>
      <c r="R471" s="452"/>
      <c r="S471" s="452"/>
      <c r="T471" s="158"/>
    </row>
    <row r="472" spans="1:20" ht="12.75" customHeight="1" x14ac:dyDescent="0.3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1"/>
      <c r="N472" s="451"/>
      <c r="O472" s="452"/>
      <c r="P472" s="452"/>
      <c r="Q472" s="452"/>
      <c r="R472" s="452"/>
      <c r="S472" s="452"/>
      <c r="T472" s="158"/>
    </row>
    <row r="473" spans="1:20" ht="12.75" customHeight="1" x14ac:dyDescent="0.3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1"/>
      <c r="N473" s="451"/>
      <c r="O473" s="452"/>
      <c r="P473" s="452"/>
      <c r="Q473" s="452"/>
      <c r="R473" s="452"/>
      <c r="S473" s="452"/>
      <c r="T473" s="158"/>
    </row>
    <row r="474" spans="1:20" ht="12.75" customHeight="1" x14ac:dyDescent="0.3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1"/>
      <c r="N474" s="451"/>
      <c r="O474" s="452"/>
      <c r="P474" s="452"/>
      <c r="Q474" s="452"/>
      <c r="R474" s="452"/>
      <c r="S474" s="452"/>
      <c r="T474" s="158"/>
    </row>
    <row r="475" spans="1:20" ht="12.75" customHeight="1" x14ac:dyDescent="0.3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1"/>
      <c r="N475" s="451"/>
      <c r="O475" s="452"/>
      <c r="P475" s="452"/>
      <c r="Q475" s="452"/>
      <c r="R475" s="452"/>
      <c r="S475" s="452"/>
      <c r="T475" s="158"/>
    </row>
    <row r="476" spans="1:20" ht="12.75" customHeight="1" x14ac:dyDescent="0.3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1"/>
      <c r="N476" s="451"/>
      <c r="O476" s="452"/>
      <c r="P476" s="452"/>
      <c r="Q476" s="452"/>
      <c r="R476" s="452"/>
      <c r="S476" s="452"/>
      <c r="T476" s="158"/>
    </row>
    <row r="477" spans="1:20" ht="12.75" customHeight="1" x14ac:dyDescent="0.3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1"/>
      <c r="N477" s="451"/>
      <c r="O477" s="452"/>
      <c r="P477" s="452"/>
      <c r="Q477" s="452"/>
      <c r="R477" s="452"/>
      <c r="S477" s="452"/>
      <c r="T477" s="158"/>
    </row>
    <row r="478" spans="1:20" ht="12.75" customHeight="1" x14ac:dyDescent="0.3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1"/>
      <c r="N478" s="451"/>
      <c r="O478" s="452"/>
      <c r="P478" s="452"/>
      <c r="Q478" s="452"/>
      <c r="R478" s="452"/>
      <c r="S478" s="452"/>
      <c r="T478" s="158"/>
    </row>
    <row r="479" spans="1:20" ht="12.75" customHeight="1" x14ac:dyDescent="0.3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1"/>
      <c r="N479" s="451"/>
      <c r="O479" s="452"/>
      <c r="P479" s="452"/>
      <c r="Q479" s="452"/>
      <c r="R479" s="452"/>
      <c r="S479" s="452"/>
      <c r="T479" s="158"/>
    </row>
    <row r="480" spans="1:20" ht="12.75" customHeight="1" x14ac:dyDescent="0.3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1"/>
      <c r="N480" s="451"/>
      <c r="O480" s="452"/>
      <c r="P480" s="452"/>
      <c r="Q480" s="452"/>
      <c r="R480" s="452"/>
      <c r="S480" s="452"/>
      <c r="T480" s="158"/>
    </row>
    <row r="481" spans="1:20" ht="12.75" customHeight="1" x14ac:dyDescent="0.3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1"/>
      <c r="N481" s="451"/>
      <c r="O481" s="452"/>
      <c r="P481" s="452"/>
      <c r="Q481" s="452"/>
      <c r="R481" s="452"/>
      <c r="S481" s="452"/>
      <c r="T481" s="158"/>
    </row>
    <row r="482" spans="1:20" ht="12.75" customHeight="1" x14ac:dyDescent="0.3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1"/>
      <c r="N482" s="451"/>
      <c r="O482" s="452"/>
      <c r="P482" s="452"/>
      <c r="Q482" s="452"/>
      <c r="R482" s="452"/>
      <c r="S482" s="452"/>
      <c r="T482" s="158"/>
    </row>
    <row r="483" spans="1:20" ht="12.75" customHeight="1" x14ac:dyDescent="0.3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1"/>
      <c r="N483" s="451"/>
      <c r="O483" s="452"/>
      <c r="P483" s="452"/>
      <c r="Q483" s="452"/>
      <c r="R483" s="452"/>
      <c r="S483" s="452"/>
      <c r="T483" s="158"/>
    </row>
    <row r="484" spans="1:20" ht="12.75" customHeight="1" x14ac:dyDescent="0.3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1"/>
      <c r="N484" s="451"/>
      <c r="O484" s="452"/>
      <c r="P484" s="452"/>
      <c r="Q484" s="452"/>
      <c r="R484" s="452"/>
      <c r="S484" s="452"/>
      <c r="T484" s="158"/>
    </row>
    <row r="485" spans="1:20" ht="12.75" customHeight="1" x14ac:dyDescent="0.3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1"/>
      <c r="N485" s="451"/>
      <c r="O485" s="452"/>
      <c r="P485" s="452"/>
      <c r="Q485" s="452"/>
      <c r="R485" s="452"/>
      <c r="S485" s="452"/>
      <c r="T485" s="158"/>
    </row>
    <row r="486" spans="1:20" ht="12.75" customHeight="1" x14ac:dyDescent="0.3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1"/>
      <c r="N486" s="451"/>
      <c r="O486" s="452"/>
      <c r="P486" s="452"/>
      <c r="Q486" s="452"/>
      <c r="R486" s="452"/>
      <c r="S486" s="452"/>
      <c r="T486" s="158"/>
    </row>
    <row r="487" spans="1:20" ht="12.75" customHeight="1" x14ac:dyDescent="0.3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1"/>
      <c r="N487" s="451"/>
      <c r="O487" s="452"/>
      <c r="P487" s="452"/>
      <c r="Q487" s="452"/>
      <c r="R487" s="452"/>
      <c r="S487" s="452"/>
      <c r="T487" s="158"/>
    </row>
    <row r="488" spans="1:20" ht="12.75" customHeight="1" x14ac:dyDescent="0.3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1"/>
      <c r="N488" s="451"/>
      <c r="O488" s="452"/>
      <c r="P488" s="452"/>
      <c r="Q488" s="452"/>
      <c r="R488" s="452"/>
      <c r="S488" s="452"/>
      <c r="T488" s="158"/>
    </row>
    <row r="489" spans="1:20" ht="12.75" customHeight="1" x14ac:dyDescent="0.3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1"/>
      <c r="N489" s="451"/>
      <c r="O489" s="452"/>
      <c r="P489" s="452"/>
      <c r="Q489" s="452"/>
      <c r="R489" s="452"/>
      <c r="S489" s="452"/>
      <c r="T489" s="158"/>
    </row>
    <row r="490" spans="1:20" ht="12.75" customHeight="1" x14ac:dyDescent="0.3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339"/>
      <c r="N490" s="339"/>
      <c r="O490" s="282"/>
      <c r="P490" s="282"/>
      <c r="Q490" s="282"/>
      <c r="R490" s="282"/>
      <c r="S490" s="282"/>
      <c r="T490" s="158"/>
    </row>
    <row r="491" spans="1:20" ht="12.75" customHeight="1" x14ac:dyDescent="0.3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 t="s">
        <v>754</v>
      </c>
      <c r="M491" s="364"/>
      <c r="N491" s="364"/>
      <c r="O491" s="470"/>
      <c r="P491" s="470"/>
      <c r="Q491" s="470"/>
      <c r="R491" s="470"/>
      <c r="S491" s="470"/>
      <c r="T491" s="158"/>
    </row>
    <row r="492" spans="1:20" ht="12.75" customHeight="1" x14ac:dyDescent="0.3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339"/>
      <c r="N492" s="339"/>
      <c r="O492" s="282"/>
      <c r="P492" s="282"/>
      <c r="Q492" s="282"/>
      <c r="R492" s="282"/>
      <c r="S492" s="282"/>
      <c r="T492" s="158"/>
    </row>
    <row r="493" spans="1:20" ht="12.75" customHeight="1" x14ac:dyDescent="0.3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/>
      <c r="M493" s="451"/>
      <c r="N493" s="451">
        <f>((DRYDEPaerosol.C+AerosolWashout.C+GasWashout.C+GASABS.aC.wC)/HEIGHT.aC)*AREAFRAC.w0C</f>
        <v>1.2850239947824965E-2</v>
      </c>
      <c r="O493" s="451">
        <f>((DRYDEPaerosol.C+AerosolWashout.C+GasWashout.C+GASABS.aC.wC)/HEIGHT.aC)*AREAFRAC.w0C</f>
        <v>1.2850239947824965E-2</v>
      </c>
      <c r="P493" s="451">
        <f>((DRYDEPaerosol.C+AerosolWashout.C+GasWashout.C+GASABS.aC.wC)/HEIGHT.aC)*AREAFRAC.w0C</f>
        <v>1.2850239947824965E-2</v>
      </c>
      <c r="Q493" s="451">
        <f>((DRYDEPaerosol.C+AerosolWashout.C+GasWashout.C+GASABS.aC.wC)/HEIGHT.aC)*AREAFRAC.w0C</f>
        <v>1.2850239947824965E-2</v>
      </c>
      <c r="R493" s="451">
        <f>((DRYDEPaerosol.C+AerosolWashout.C+GasWashout.C+GASABS.aC.wC)/HEIGHT.aC)*AREAFRAC.w0C</f>
        <v>1.2850239947824965E-2</v>
      </c>
      <c r="S493" s="452"/>
      <c r="T493" s="158"/>
    </row>
    <row r="494" spans="1:20" ht="12.75" customHeight="1" x14ac:dyDescent="0.3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/>
      <c r="M494" s="451"/>
      <c r="N494" s="451">
        <f>((DRYDEPaerosol.C+AerosolWashout.C+GasWashout.C+GASABS.aC.wC)/HEIGHT.aC)*AREAFRAC.w1C</f>
        <v>0.14135263942607462</v>
      </c>
      <c r="O494" s="451">
        <f>((DRYDEPaerosol.C+AerosolWashout.C+GasWashout.C+GASABS.aC.wC)/HEIGHT.aC)*AREAFRAC.w1C</f>
        <v>0.14135263942607462</v>
      </c>
      <c r="P494" s="451">
        <f>((DRYDEPaerosol.C+AerosolWashout.C+GasWashout.C+GASABS.aC.wC)/HEIGHT.aC)*AREAFRAC.w1C</f>
        <v>0.14135263942607462</v>
      </c>
      <c r="Q494" s="451">
        <f>((DRYDEPaerosol.C+AerosolWashout.C+GasWashout.C+GASABS.aC.wC)/HEIGHT.aC)*AREAFRAC.w1C</f>
        <v>0.14135263942607462</v>
      </c>
      <c r="R494" s="451">
        <f>((DRYDEPaerosol.C+AerosolWashout.C+GasWashout.C+GASABS.aC.wC)/HEIGHT.aC)*AREAFRAC.w1C</f>
        <v>0.14135263942607462</v>
      </c>
      <c r="S494" s="452"/>
      <c r="T494" s="158"/>
    </row>
    <row r="495" spans="1:20" ht="12.75" customHeight="1" x14ac:dyDescent="0.3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/>
      <c r="M495" s="451"/>
      <c r="N495" s="451">
        <f>((DRYDEPaerosol.C+AerosolWashout.C+GasWashout.C+GASABS.aC.wC)/HEIGHT.aC)*AREAFRAC.w2C</f>
        <v>5.475662626471979</v>
      </c>
      <c r="O495" s="451">
        <f>((DRYDEPaerosol.C+AerosolWashout.C+GasWashout.C+GASABS.aC.wC)/HEIGHT.aC)*AREAFRAC.w2C</f>
        <v>5.475662626471979</v>
      </c>
      <c r="P495" s="451">
        <f>((DRYDEPaerosol.C+AerosolWashout.C+GasWashout.C+GASABS.aC.wC)/HEIGHT.aC)*AREAFRAC.w2C</f>
        <v>5.475662626471979</v>
      </c>
      <c r="Q495" s="451">
        <f>((DRYDEPaerosol.C+AerosolWashout.C+GasWashout.C+GASABS.aC.wC)/HEIGHT.aC)*AREAFRAC.w2C</f>
        <v>5.475662626471979</v>
      </c>
      <c r="R495" s="451">
        <f>((DRYDEPaerosol.C+AerosolWashout.C+GasWashout.C+GASABS.aC.wC)/HEIGHT.aC)*AREAFRAC.w2C</f>
        <v>5.475662626471979</v>
      </c>
      <c r="S495" s="452"/>
      <c r="T495" s="158"/>
    </row>
    <row r="496" spans="1:20" ht="12.75" customHeight="1" x14ac:dyDescent="0.3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/>
      <c r="M496" s="451"/>
      <c r="N496" s="451">
        <f>((DRYDEPaerosol.C+AerosolWashout.C+GasWashout.C+GASABS.aC.sC)/HEIGHT.aC)*AREAFRAC.s1C</f>
        <v>1.3878259143650966</v>
      </c>
      <c r="O496" s="451">
        <f>((DRYDEPaerosol.C+AerosolWashout.C+GasWashout.C+GASABS.aC.sC)/HEIGHT.aC)*AREAFRAC.s1C</f>
        <v>1.3878259143650966</v>
      </c>
      <c r="P496" s="451">
        <f>((DRYDEPaerosol.C+AerosolWashout.C+GasWashout.C+GASABS.aC.sC)/HEIGHT.aC)*AREAFRAC.s1C</f>
        <v>1.3878259143650966</v>
      </c>
      <c r="Q496" s="451">
        <f>((DRYDEPaerosol.C+AerosolWashout.C+GasWashout.C+GASABS.aC.sC)/HEIGHT.aC)*AREAFRAC.s1C</f>
        <v>1.3878259143650966</v>
      </c>
      <c r="R496" s="451">
        <f>((DRYDEPaerosol.C+AerosolWashout.C+GasWashout.C+GASABS.aC.sC)/HEIGHT.aC)*AREAFRAC.s1C</f>
        <v>1.3878259143650966</v>
      </c>
      <c r="S496" s="452"/>
      <c r="T496" s="158"/>
    </row>
    <row r="497" spans="1:20" ht="12.75" customHeight="1" x14ac:dyDescent="0.3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/>
      <c r="M497" s="451"/>
      <c r="N497" s="451">
        <f>((DRYDEPaerosol.C+AerosolWashout.C+GasWashout.C+GASABS.aC.sC)/HEIGHT.aC)*AREAFRAC.s2C</f>
        <v>3.0840575874779921</v>
      </c>
      <c r="O497" s="451">
        <f>((DRYDEPaerosol.C+AerosolWashout.C+GasWashout.C+GASABS.aC.sC)/HEIGHT.aC)*AREAFRAC.s2C</f>
        <v>3.0840575874779921</v>
      </c>
      <c r="P497" s="451">
        <f>((DRYDEPaerosol.C+AerosolWashout.C+GasWashout.C+GASABS.aC.sC)/HEIGHT.aC)*AREAFRAC.s2C</f>
        <v>3.0840575874779921</v>
      </c>
      <c r="Q497" s="451">
        <f>((DRYDEPaerosol.C+AerosolWashout.C+GasWashout.C+GASABS.aC.sC)/HEIGHT.aC)*AREAFRAC.s2C</f>
        <v>3.0840575874779921</v>
      </c>
      <c r="R497" s="451">
        <f>((DRYDEPaerosol.C+AerosolWashout.C+GasWashout.C+GASABS.aC.sC)/HEIGHT.aC)*AREAFRAC.s2C</f>
        <v>3.0840575874779921</v>
      </c>
      <c r="S497" s="452"/>
      <c r="T497" s="158"/>
    </row>
    <row r="498" spans="1:20" ht="12.75" customHeight="1" x14ac:dyDescent="0.3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/>
      <c r="M498" s="451"/>
      <c r="N498" s="451">
        <f>((DRYDEPaerosol.C+AerosolWashout.C+GasWashout.C+GASABS.aC.sC)/HEIGHT.aC)*AREAFRAC.s3C</f>
        <v>0.51400959791299861</v>
      </c>
      <c r="O498" s="451">
        <f>((DRYDEPaerosol.C+AerosolWashout.C+GasWashout.C+GASABS.aC.sC)/HEIGHT.aC)*AREAFRAC.s3C</f>
        <v>0.51400959791299861</v>
      </c>
      <c r="P498" s="451">
        <f>((DRYDEPaerosol.C+AerosolWashout.C+GasWashout.C+GASABS.aC.sC)/HEIGHT.aC)*AREAFRAC.s3C</f>
        <v>0.51400959791299861</v>
      </c>
      <c r="Q498" s="451">
        <f>((DRYDEPaerosol.C+AerosolWashout.C+GasWashout.C+GASABS.aC.sC)/HEIGHT.aC)*AREAFRAC.s3C</f>
        <v>0.51400959791299861</v>
      </c>
      <c r="R498" s="451">
        <f>((DRYDEPaerosol.C+AerosolWashout.C+GasWashout.C+GASABS.aC.sC)/HEIGHT.aC)*AREAFRAC.s3C</f>
        <v>0.51400959791299861</v>
      </c>
      <c r="S498" s="452"/>
      <c r="T498" s="158"/>
    </row>
    <row r="499" spans="1:20" ht="12.75" customHeight="1" x14ac:dyDescent="0.3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1"/>
      <c r="N499" s="451"/>
      <c r="O499" s="452"/>
      <c r="P499" s="452"/>
      <c r="Q499" s="452"/>
      <c r="R499" s="452"/>
      <c r="S499" s="452"/>
      <c r="T499" s="158"/>
    </row>
    <row r="500" spans="1:20" ht="12.75" customHeight="1" x14ac:dyDescent="0.3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1"/>
      <c r="N500" s="451"/>
      <c r="O500" s="452"/>
      <c r="P500" s="452"/>
      <c r="Q500" s="452"/>
      <c r="R500" s="452"/>
      <c r="S500" s="452"/>
      <c r="T500" s="158"/>
    </row>
    <row r="501" spans="1:20" ht="12.75" customHeight="1" x14ac:dyDescent="0.3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1"/>
      <c r="N501" s="451"/>
      <c r="O501" s="452"/>
      <c r="P501" s="452"/>
      <c r="Q501" s="452"/>
      <c r="R501" s="452"/>
      <c r="S501" s="452"/>
      <c r="T501" s="158"/>
    </row>
    <row r="502" spans="1:20" ht="12.75" customHeight="1" x14ac:dyDescent="0.3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1"/>
      <c r="N502" s="451"/>
      <c r="O502" s="452"/>
      <c r="P502" s="452"/>
      <c r="Q502" s="452"/>
      <c r="R502" s="452"/>
      <c r="S502" s="452"/>
      <c r="T502" s="158"/>
    </row>
    <row r="503" spans="1:20" ht="12.75" customHeight="1" x14ac:dyDescent="0.3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1"/>
      <c r="N503" s="451"/>
      <c r="O503" s="452"/>
      <c r="P503" s="452"/>
      <c r="Q503" s="452"/>
      <c r="R503" s="452"/>
      <c r="S503" s="452"/>
      <c r="T503" s="158"/>
    </row>
    <row r="504" spans="1:20" ht="12.75" customHeight="1" x14ac:dyDescent="0.3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1"/>
      <c r="N504" s="451"/>
      <c r="O504" s="452"/>
      <c r="P504" s="452"/>
      <c r="Q504" s="452"/>
      <c r="R504" s="452"/>
      <c r="S504" s="452"/>
      <c r="T504" s="158"/>
    </row>
    <row r="505" spans="1:20" ht="12.75" customHeight="1" x14ac:dyDescent="0.3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1"/>
      <c r="N505" s="451"/>
      <c r="O505" s="452"/>
      <c r="P505" s="452"/>
      <c r="Q505" s="452"/>
      <c r="R505" s="452"/>
      <c r="S505" s="452"/>
      <c r="T505" s="158"/>
    </row>
    <row r="506" spans="1:20" ht="12.75" customHeight="1" x14ac:dyDescent="0.3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1"/>
      <c r="N506" s="451"/>
      <c r="O506" s="452"/>
      <c r="P506" s="452"/>
      <c r="Q506" s="452"/>
      <c r="R506" s="452"/>
      <c r="S506" s="452"/>
      <c r="T506" s="158"/>
    </row>
    <row r="507" spans="1:20" ht="12.75" customHeight="1" x14ac:dyDescent="0.3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1"/>
      <c r="N507" s="451"/>
      <c r="O507" s="452"/>
      <c r="P507" s="452"/>
      <c r="Q507" s="452"/>
      <c r="R507" s="452"/>
      <c r="S507" s="452"/>
      <c r="T507" s="158"/>
    </row>
    <row r="508" spans="1:20" ht="12.75" customHeight="1" x14ac:dyDescent="0.3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1"/>
      <c r="N508" s="451"/>
      <c r="O508" s="452"/>
      <c r="P508" s="452"/>
      <c r="Q508" s="452"/>
      <c r="R508" s="452"/>
      <c r="S508" s="452"/>
      <c r="T508" s="158"/>
    </row>
    <row r="509" spans="1:20" ht="12.75" customHeight="1" x14ac:dyDescent="0.3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1"/>
      <c r="N509" s="451"/>
      <c r="O509" s="452"/>
      <c r="P509" s="452"/>
      <c r="Q509" s="452"/>
      <c r="R509" s="452"/>
      <c r="S509" s="452"/>
      <c r="T509" s="158"/>
    </row>
    <row r="510" spans="1:20" ht="12.75" customHeight="1" x14ac:dyDescent="0.3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1"/>
      <c r="N510" s="451"/>
      <c r="O510" s="452"/>
      <c r="P510" s="452"/>
      <c r="Q510" s="452"/>
      <c r="R510" s="452"/>
      <c r="S510" s="452"/>
      <c r="T510" s="158"/>
    </row>
    <row r="511" spans="1:20" ht="12.75" customHeight="1" x14ac:dyDescent="0.3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/>
      <c r="M511" s="451"/>
      <c r="N511" s="451">
        <f>AEROSOLdeprate.C*FRaers.aC</f>
        <v>4.2609589573335867E-4</v>
      </c>
      <c r="O511" s="452">
        <f>AEROSOLdeprate.C*FRaers.aC</f>
        <v>4.2609589573335867E-4</v>
      </c>
      <c r="P511" s="452">
        <f>AEROSOLdeprate.C*FRaers.aC</f>
        <v>4.2609589573335867E-4</v>
      </c>
      <c r="Q511" s="452">
        <f>AEROSOLdeprate.C*FRaers.aC</f>
        <v>4.2609589573335867E-4</v>
      </c>
      <c r="R511" s="452">
        <f>AEROSOLdeprate.C*FRaers.aC</f>
        <v>4.2609589573335867E-4</v>
      </c>
      <c r="S511" s="452"/>
      <c r="T511" s="158"/>
    </row>
    <row r="512" spans="1:20" ht="12.75" customHeight="1" x14ac:dyDescent="0.3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/>
      <c r="M512" s="451"/>
      <c r="N512" s="451">
        <f t="shared" ref="N512:R512" si="11">(1-FRgas.aC)*COLLECTeff.C*RAINrate.C</f>
        <v>4.4393708772405205E-3</v>
      </c>
      <c r="O512" s="452">
        <f t="shared" si="11"/>
        <v>4.4393708772405205E-3</v>
      </c>
      <c r="P512" s="452">
        <f t="shared" si="11"/>
        <v>4.4393708772405205E-3</v>
      </c>
      <c r="Q512" s="452">
        <f t="shared" si="11"/>
        <v>4.4393708772405205E-3</v>
      </c>
      <c r="R512" s="452">
        <f t="shared" si="11"/>
        <v>4.4393708772405205E-3</v>
      </c>
      <c r="S512" s="452"/>
      <c r="T512" s="158"/>
    </row>
    <row r="513" spans="1:20" ht="12.75" customHeight="1" x14ac:dyDescent="0.3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/>
      <c r="M513" s="451"/>
      <c r="N513" s="451">
        <f t="shared" ref="N513:R513" si="12">FRgas.aC*RAINrate.C/Kaw.C</f>
        <v>636.94356473840719</v>
      </c>
      <c r="O513" s="452">
        <f t="shared" si="12"/>
        <v>636.94356473840719</v>
      </c>
      <c r="P513" s="452">
        <f t="shared" si="12"/>
        <v>636.94356473840719</v>
      </c>
      <c r="Q513" s="452">
        <f t="shared" si="12"/>
        <v>636.94356473840719</v>
      </c>
      <c r="R513" s="452">
        <f t="shared" si="12"/>
        <v>636.94356473840719</v>
      </c>
      <c r="S513" s="452"/>
      <c r="T513" s="158"/>
    </row>
    <row r="514" spans="1:20" ht="12.75" customHeight="1" x14ac:dyDescent="0.3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1"/>
      <c r="N514" s="451"/>
      <c r="O514" s="452"/>
      <c r="P514" s="452"/>
      <c r="Q514" s="452"/>
      <c r="R514" s="452"/>
      <c r="S514" s="452"/>
      <c r="T514" s="158"/>
    </row>
    <row r="515" spans="1:20" ht="12.75" customHeight="1" x14ac:dyDescent="0.3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1"/>
      <c r="N515" s="451"/>
      <c r="O515" s="452"/>
      <c r="P515" s="452"/>
      <c r="Q515" s="452"/>
      <c r="R515" s="452"/>
      <c r="S515" s="452"/>
      <c r="T515" s="158"/>
    </row>
    <row r="516" spans="1:20" ht="12.75" customHeight="1" x14ac:dyDescent="0.3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1"/>
      <c r="N516" s="451"/>
      <c r="O516" s="452"/>
      <c r="P516" s="452"/>
      <c r="Q516" s="452"/>
      <c r="R516" s="452"/>
      <c r="S516" s="452"/>
      <c r="T516" s="158"/>
    </row>
    <row r="517" spans="1:20" ht="12.75" customHeight="1" x14ac:dyDescent="0.3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1"/>
      <c r="N517" s="451"/>
      <c r="O517" s="452"/>
      <c r="P517" s="452"/>
      <c r="Q517" s="452"/>
      <c r="R517" s="452"/>
      <c r="S517" s="452"/>
      <c r="T517" s="158"/>
    </row>
    <row r="518" spans="1:20" ht="12.75" customHeight="1" x14ac:dyDescent="0.3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1"/>
      <c r="N518" s="451"/>
      <c r="O518" s="452"/>
      <c r="P518" s="452"/>
      <c r="Q518" s="452"/>
      <c r="R518" s="452"/>
      <c r="S518" s="452"/>
      <c r="T518" s="158"/>
    </row>
    <row r="519" spans="1:20" ht="12.75" customHeight="1" x14ac:dyDescent="0.3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1"/>
      <c r="N519" s="451"/>
      <c r="O519" s="452"/>
      <c r="P519" s="452"/>
      <c r="Q519" s="452"/>
      <c r="R519" s="452"/>
      <c r="S519" s="452"/>
      <c r="T519" s="158"/>
    </row>
    <row r="520" spans="1:20" ht="12.75" customHeight="1" x14ac:dyDescent="0.3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1"/>
      <c r="N520" s="451"/>
      <c r="O520" s="452"/>
      <c r="P520" s="452"/>
      <c r="Q520" s="452"/>
      <c r="R520" s="452"/>
      <c r="S520" s="452"/>
      <c r="T520" s="158"/>
    </row>
    <row r="521" spans="1:20" ht="12.75" customHeight="1" x14ac:dyDescent="0.3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1"/>
      <c r="N521" s="451"/>
      <c r="O521" s="452"/>
      <c r="P521" s="452"/>
      <c r="Q521" s="452"/>
      <c r="R521" s="452"/>
      <c r="S521" s="452"/>
      <c r="T521" s="158"/>
    </row>
    <row r="522" spans="1:20" ht="12.75" customHeight="1" x14ac:dyDescent="0.3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1"/>
      <c r="N522" s="451"/>
      <c r="O522" s="452"/>
      <c r="P522" s="452"/>
      <c r="Q522" s="452"/>
      <c r="R522" s="452"/>
      <c r="S522" s="452"/>
      <c r="T522" s="158"/>
    </row>
    <row r="523" spans="1:20" ht="12.75" customHeight="1" x14ac:dyDescent="0.3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1"/>
      <c r="N523" s="451"/>
      <c r="O523" s="452"/>
      <c r="P523" s="452"/>
      <c r="Q523" s="452"/>
      <c r="R523" s="452"/>
      <c r="S523" s="452"/>
      <c r="T523" s="158"/>
    </row>
    <row r="524" spans="1:20" ht="12.75" customHeight="1" x14ac:dyDescent="0.3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1"/>
      <c r="N524" s="451"/>
      <c r="O524" s="452"/>
      <c r="P524" s="452"/>
      <c r="Q524" s="452"/>
      <c r="R524" s="452"/>
      <c r="S524" s="452"/>
      <c r="T524" s="158"/>
    </row>
    <row r="525" spans="1:20" ht="12.75" customHeight="1" x14ac:dyDescent="0.3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1"/>
      <c r="N525" s="451"/>
      <c r="O525" s="452"/>
      <c r="P525" s="452"/>
      <c r="Q525" s="452"/>
      <c r="R525" s="452"/>
      <c r="S525" s="452"/>
      <c r="T525" s="158"/>
    </row>
    <row r="526" spans="1:20" ht="12.75" customHeight="1" x14ac:dyDescent="0.3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1"/>
      <c r="N526" s="451"/>
      <c r="O526" s="452"/>
      <c r="P526" s="452"/>
      <c r="Q526" s="452"/>
      <c r="R526" s="452"/>
      <c r="S526" s="452"/>
      <c r="T526" s="158"/>
    </row>
    <row r="527" spans="1:20" ht="12.75" customHeight="1" x14ac:dyDescent="0.3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/>
      <c r="M527" s="451"/>
      <c r="N527" s="451">
        <v>1.1468924229780271E-8</v>
      </c>
      <c r="O527" s="452">
        <v>1.1468924229780271E-8</v>
      </c>
      <c r="P527" s="452">
        <v>1.1468924229780271E-8</v>
      </c>
      <c r="Q527" s="452">
        <v>1.1468924229780271E-8</v>
      </c>
      <c r="R527" s="452"/>
      <c r="S527" s="452">
        <v>1.1468924229780271E-8</v>
      </c>
      <c r="T527" s="158"/>
    </row>
    <row r="528" spans="1:20" ht="12.75" customHeight="1" x14ac:dyDescent="0.3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/>
      <c r="M528" s="451"/>
      <c r="N528" s="451">
        <v>1</v>
      </c>
      <c r="O528" s="452">
        <v>1</v>
      </c>
      <c r="P528" s="452">
        <v>1</v>
      </c>
      <c r="Q528" s="452">
        <v>1</v>
      </c>
      <c r="R528" s="452"/>
      <c r="S528" s="452">
        <v>1</v>
      </c>
      <c r="T528" s="158"/>
    </row>
    <row r="529" spans="1:20" ht="12.75" customHeight="1" x14ac:dyDescent="0.3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/>
      <c r="M529" s="451"/>
      <c r="N529" s="451">
        <v>1</v>
      </c>
      <c r="O529" s="452">
        <v>1</v>
      </c>
      <c r="P529" s="452">
        <v>1</v>
      </c>
      <c r="Q529" s="452">
        <v>1</v>
      </c>
      <c r="R529" s="452"/>
      <c r="S529" s="452">
        <v>1</v>
      </c>
      <c r="T529" s="158"/>
    </row>
    <row r="530" spans="1:20" ht="12.75" customHeight="1" x14ac:dyDescent="0.3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/>
      <c r="M530" s="451"/>
      <c r="N530" s="451">
        <v>1</v>
      </c>
      <c r="O530" s="452">
        <v>1</v>
      </c>
      <c r="P530" s="452">
        <v>1</v>
      </c>
      <c r="Q530" s="452">
        <v>1</v>
      </c>
      <c r="R530" s="452"/>
      <c r="S530" s="452">
        <v>1</v>
      </c>
      <c r="T530" s="158"/>
    </row>
    <row r="531" spans="1:20" ht="12.75" customHeight="1" x14ac:dyDescent="0.3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42"/>
      <c r="N531" s="342"/>
      <c r="O531" s="360"/>
      <c r="P531" s="360"/>
      <c r="Q531" s="360"/>
      <c r="R531" s="360"/>
      <c r="S531" s="472"/>
      <c r="T531" s="158"/>
    </row>
    <row r="532" spans="1:20" ht="12.75" customHeight="1" x14ac:dyDescent="0.3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1"/>
      <c r="N532" s="451"/>
      <c r="O532" s="452"/>
      <c r="P532" s="452"/>
      <c r="Q532" s="452"/>
      <c r="R532" s="452"/>
      <c r="S532" s="452"/>
      <c r="T532" s="158"/>
    </row>
    <row r="533" spans="1:20" ht="12.75" customHeight="1" x14ac:dyDescent="0.3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1"/>
      <c r="N533" s="451"/>
      <c r="O533" s="452"/>
      <c r="P533" s="452"/>
      <c r="Q533" s="452"/>
      <c r="R533" s="452"/>
      <c r="S533" s="452"/>
      <c r="T533" s="158"/>
    </row>
    <row r="534" spans="1:20" ht="12.75" customHeight="1" x14ac:dyDescent="0.3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1"/>
      <c r="N534" s="451"/>
      <c r="O534" s="452"/>
      <c r="P534" s="452"/>
      <c r="Q534" s="452"/>
      <c r="R534" s="452"/>
      <c r="S534" s="452"/>
      <c r="T534" s="158"/>
    </row>
    <row r="535" spans="1:20" ht="12.75" customHeight="1" x14ac:dyDescent="0.3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1"/>
      <c r="N535" s="451"/>
      <c r="O535" s="452"/>
      <c r="P535" s="452"/>
      <c r="Q535" s="452"/>
      <c r="R535" s="452"/>
      <c r="S535" s="452"/>
      <c r="T535" s="158"/>
    </row>
    <row r="536" spans="1:20" ht="12.75" customHeight="1" x14ac:dyDescent="0.3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1"/>
      <c r="N536" s="451"/>
      <c r="O536" s="452"/>
      <c r="P536" s="452"/>
      <c r="Q536" s="452"/>
      <c r="R536" s="452"/>
      <c r="S536" s="452"/>
      <c r="T536" s="158"/>
    </row>
    <row r="537" spans="1:20" ht="12.75" customHeight="1" x14ac:dyDescent="0.3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1"/>
      <c r="N537" s="451"/>
      <c r="O537" s="452"/>
      <c r="P537" s="452"/>
      <c r="Q537" s="452"/>
      <c r="R537" s="452"/>
      <c r="S537" s="452"/>
      <c r="T537" s="158"/>
    </row>
    <row r="538" spans="1:20" ht="12.75" customHeight="1" x14ac:dyDescent="0.3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1"/>
      <c r="N538" s="451"/>
      <c r="O538" s="452"/>
      <c r="P538" s="452"/>
      <c r="Q538" s="452"/>
      <c r="R538" s="452"/>
      <c r="S538" s="452"/>
      <c r="T538" s="158"/>
    </row>
    <row r="539" spans="1:20" ht="12.75" customHeight="1" x14ac:dyDescent="0.3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1"/>
      <c r="N539" s="451"/>
      <c r="O539" s="452"/>
      <c r="P539" s="452"/>
      <c r="Q539" s="452"/>
      <c r="R539" s="452"/>
      <c r="S539" s="452"/>
      <c r="T539" s="158"/>
    </row>
    <row r="540" spans="1:20" ht="12.75" customHeight="1" x14ac:dyDescent="0.3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1"/>
      <c r="N540" s="451"/>
      <c r="O540" s="452"/>
      <c r="P540" s="452"/>
      <c r="Q540" s="452"/>
      <c r="R540" s="452"/>
      <c r="S540" s="452"/>
      <c r="T540" s="158"/>
    </row>
    <row r="541" spans="1:20" ht="12.75" customHeight="1" x14ac:dyDescent="0.3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1"/>
      <c r="N541" s="451"/>
      <c r="O541" s="452"/>
      <c r="P541" s="452"/>
      <c r="Q541" s="452"/>
      <c r="R541" s="452"/>
      <c r="S541" s="452"/>
      <c r="T541" s="158"/>
    </row>
    <row r="542" spans="1:20" ht="12.75" customHeight="1" x14ac:dyDescent="0.3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1"/>
      <c r="N542" s="451"/>
      <c r="O542" s="452"/>
      <c r="P542" s="452"/>
      <c r="Q542" s="452"/>
      <c r="R542" s="452"/>
      <c r="S542" s="452"/>
      <c r="T542" s="158"/>
    </row>
    <row r="543" spans="1:20" ht="12.75" customHeight="1" x14ac:dyDescent="0.3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1"/>
      <c r="N543" s="451"/>
      <c r="O543" s="452"/>
      <c r="P543" s="452"/>
      <c r="Q543" s="452"/>
      <c r="R543" s="452"/>
      <c r="S543" s="452"/>
      <c r="T543" s="158"/>
    </row>
    <row r="544" spans="1:20" ht="12.75" customHeight="1" x14ac:dyDescent="0.3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/>
      <c r="M544" s="451"/>
      <c r="N544" s="451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452">
        <v>2.24071533297921E-13</v>
      </c>
      <c r="S544" s="452">
        <v>2.24071533297921E-13</v>
      </c>
      <c r="T544" s="158"/>
    </row>
    <row r="545" spans="1:20" ht="12.75" customHeight="1" x14ac:dyDescent="0.3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1"/>
      <c r="N545" s="451"/>
      <c r="O545" s="452"/>
      <c r="P545" s="452"/>
      <c r="Q545" s="452"/>
      <c r="R545" s="452"/>
      <c r="S545" s="452"/>
      <c r="T545" s="158"/>
    </row>
    <row r="546" spans="1:20" ht="12.75" customHeight="1" x14ac:dyDescent="0.3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1"/>
      <c r="N546" s="451"/>
      <c r="O546" s="452"/>
      <c r="P546" s="452"/>
      <c r="Q546" s="452"/>
      <c r="R546" s="452"/>
      <c r="S546" s="452"/>
      <c r="T546" s="158"/>
    </row>
    <row r="547" spans="1:20" ht="12.75" customHeight="1" x14ac:dyDescent="0.3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1"/>
      <c r="N547" s="451"/>
      <c r="O547" s="452"/>
      <c r="P547" s="452"/>
      <c r="Q547" s="452"/>
      <c r="R547" s="452"/>
      <c r="S547" s="452"/>
      <c r="T547" s="158"/>
    </row>
    <row r="548" spans="1:20" ht="12.75" customHeight="1" x14ac:dyDescent="0.3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1"/>
      <c r="N548" s="451"/>
      <c r="O548" s="452"/>
      <c r="P548" s="452"/>
      <c r="Q548" s="452"/>
      <c r="R548" s="452"/>
      <c r="S548" s="452"/>
      <c r="T548" s="158"/>
    </row>
    <row r="549" spans="1:20" ht="12.75" customHeight="1" x14ac:dyDescent="0.3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1"/>
      <c r="N549" s="451"/>
      <c r="O549" s="452"/>
      <c r="P549" s="452"/>
      <c r="Q549" s="452"/>
      <c r="R549" s="452"/>
      <c r="S549" s="452"/>
      <c r="T549" s="158"/>
    </row>
    <row r="550" spans="1:20" ht="12.75" customHeight="1" x14ac:dyDescent="0.3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1"/>
      <c r="N550" s="451"/>
      <c r="O550" s="452"/>
      <c r="P550" s="452"/>
      <c r="Q550" s="452"/>
      <c r="R550" s="452"/>
      <c r="S550" s="452"/>
      <c r="T550" s="158"/>
    </row>
    <row r="551" spans="1:20" ht="12.75" customHeight="1" x14ac:dyDescent="0.3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1"/>
      <c r="N551" s="451"/>
      <c r="O551" s="452"/>
      <c r="P551" s="452"/>
      <c r="Q551" s="452"/>
      <c r="R551" s="452"/>
      <c r="S551" s="452"/>
      <c r="T551" s="158"/>
    </row>
    <row r="552" spans="1:20" ht="12.75" customHeight="1" x14ac:dyDescent="0.3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1"/>
      <c r="N552" s="451"/>
      <c r="O552" s="452"/>
      <c r="P552" s="452"/>
      <c r="Q552" s="452"/>
      <c r="R552" s="452"/>
      <c r="S552" s="452"/>
      <c r="T552" s="158"/>
    </row>
    <row r="553" spans="1:20" ht="12.75" customHeight="1" x14ac:dyDescent="0.3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42"/>
      <c r="N553" s="342"/>
      <c r="O553" s="360"/>
      <c r="P553" s="360"/>
      <c r="Q553" s="360"/>
      <c r="R553" s="360"/>
      <c r="S553" s="472"/>
      <c r="T553" s="158"/>
    </row>
    <row r="554" spans="1:20" ht="12.75" customHeight="1" x14ac:dyDescent="0.3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1"/>
      <c r="N554" s="451"/>
      <c r="O554" s="452"/>
      <c r="P554" s="452"/>
      <c r="Q554" s="452"/>
      <c r="R554" s="452"/>
      <c r="S554" s="452"/>
      <c r="T554" s="158"/>
    </row>
    <row r="555" spans="1:20" ht="12.75" customHeight="1" x14ac:dyDescent="0.3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1"/>
      <c r="N555" s="451"/>
      <c r="O555" s="452"/>
      <c r="P555" s="452"/>
      <c r="Q555" s="452"/>
      <c r="R555" s="452"/>
      <c r="S555" s="452"/>
      <c r="T555" s="158"/>
    </row>
    <row r="556" spans="1:20" ht="12.75" customHeight="1" x14ac:dyDescent="0.3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1"/>
      <c r="N556" s="451"/>
      <c r="O556" s="452"/>
      <c r="P556" s="452"/>
      <c r="Q556" s="452"/>
      <c r="R556" s="452"/>
      <c r="S556" s="452"/>
      <c r="T556" s="158"/>
    </row>
    <row r="557" spans="1:20" ht="12.75" customHeight="1" x14ac:dyDescent="0.3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1"/>
      <c r="N557" s="451"/>
      <c r="O557" s="452"/>
      <c r="P557" s="452"/>
      <c r="Q557" s="452"/>
      <c r="R557" s="452"/>
      <c r="S557" s="452"/>
      <c r="T557" s="158"/>
    </row>
    <row r="558" spans="1:20" ht="12.75" customHeight="1" x14ac:dyDescent="0.3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1"/>
      <c r="N558" s="451"/>
      <c r="O558" s="452"/>
      <c r="P558" s="452"/>
      <c r="Q558" s="452"/>
      <c r="R558" s="452"/>
      <c r="S558" s="452"/>
      <c r="T558" s="158"/>
    </row>
    <row r="559" spans="1:20" ht="12.75" customHeight="1" x14ac:dyDescent="0.3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1"/>
      <c r="N559" s="451"/>
      <c r="O559" s="452"/>
      <c r="P559" s="452"/>
      <c r="Q559" s="452"/>
      <c r="R559" s="452"/>
      <c r="S559" s="452"/>
      <c r="T559" s="158"/>
    </row>
    <row r="560" spans="1:20" ht="12.75" customHeight="1" x14ac:dyDescent="0.3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1"/>
      <c r="N560" s="451"/>
      <c r="O560" s="452"/>
      <c r="P560" s="452"/>
      <c r="Q560" s="452"/>
      <c r="R560" s="452"/>
      <c r="S560" s="452"/>
      <c r="T560" s="158"/>
    </row>
    <row r="561" spans="1:20" ht="12.75" customHeight="1" x14ac:dyDescent="0.3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1"/>
      <c r="N561" s="451"/>
      <c r="O561" s="452"/>
      <c r="P561" s="452"/>
      <c r="Q561" s="452"/>
      <c r="R561" s="452"/>
      <c r="S561" s="452"/>
      <c r="T561" s="158"/>
    </row>
    <row r="562" spans="1:20" ht="12.75" customHeight="1" x14ac:dyDescent="0.3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1"/>
      <c r="N562" s="451"/>
      <c r="O562" s="452"/>
      <c r="P562" s="452"/>
      <c r="Q562" s="452"/>
      <c r="R562" s="452"/>
      <c r="S562" s="452"/>
      <c r="T562" s="158"/>
    </row>
    <row r="563" spans="1:20" ht="12.75" customHeight="1" x14ac:dyDescent="0.3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1"/>
      <c r="N563" s="451"/>
      <c r="O563" s="452"/>
      <c r="P563" s="452"/>
      <c r="Q563" s="452"/>
      <c r="R563" s="452"/>
      <c r="S563" s="452"/>
      <c r="T563" s="158"/>
    </row>
    <row r="564" spans="1:20" ht="12.75" customHeight="1" x14ac:dyDescent="0.3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1"/>
      <c r="N564" s="451"/>
      <c r="O564" s="452"/>
      <c r="P564" s="452"/>
      <c r="Q564" s="452"/>
      <c r="R564" s="452"/>
      <c r="S564" s="452"/>
      <c r="T564" s="158"/>
    </row>
    <row r="565" spans="1:20" ht="12.75" customHeight="1" x14ac:dyDescent="0.3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1"/>
      <c r="N565" s="451"/>
      <c r="O565" s="452"/>
      <c r="P565" s="452"/>
      <c r="Q565" s="452"/>
      <c r="R565" s="452"/>
      <c r="S565" s="452"/>
      <c r="T565" s="158"/>
    </row>
    <row r="566" spans="1:20" ht="12.75" customHeight="1" x14ac:dyDescent="0.3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/>
      <c r="M566" s="451"/>
      <c r="N566" s="451">
        <v>1</v>
      </c>
      <c r="O566" s="452">
        <v>1</v>
      </c>
      <c r="P566" s="452">
        <v>1</v>
      </c>
      <c r="Q566" s="452">
        <v>1</v>
      </c>
      <c r="R566" s="452"/>
      <c r="S566" s="452">
        <v>1</v>
      </c>
      <c r="T566" s="158"/>
    </row>
    <row r="567" spans="1:20" ht="12.75" customHeight="1" x14ac:dyDescent="0.3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/>
      <c r="M567" s="451"/>
      <c r="N567" s="451">
        <v>1</v>
      </c>
      <c r="O567" s="452">
        <v>1</v>
      </c>
      <c r="P567" s="452">
        <v>1</v>
      </c>
      <c r="Q567" s="452">
        <v>1</v>
      </c>
      <c r="R567" s="452"/>
      <c r="S567" s="452">
        <v>1</v>
      </c>
      <c r="T567" s="158"/>
    </row>
    <row r="568" spans="1:20" ht="12.75" customHeight="1" x14ac:dyDescent="0.3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/>
      <c r="M568" s="451"/>
      <c r="N568" s="451">
        <v>1</v>
      </c>
      <c r="O568" s="452">
        <v>1</v>
      </c>
      <c r="P568" s="452">
        <v>1</v>
      </c>
      <c r="Q568" s="452">
        <v>1</v>
      </c>
      <c r="R568" s="452"/>
      <c r="S568" s="452">
        <v>1</v>
      </c>
      <c r="T568" s="158"/>
    </row>
    <row r="569" spans="1:20" ht="12.75" customHeight="1" x14ac:dyDescent="0.3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339"/>
      <c r="N569" s="339"/>
      <c r="O569" s="282"/>
      <c r="P569" s="282"/>
      <c r="Q569" s="282"/>
      <c r="R569" s="282"/>
      <c r="S569" s="282"/>
      <c r="T569" s="158"/>
    </row>
    <row r="570" spans="1:20" ht="12.75" customHeight="1" x14ac:dyDescent="0.3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 t="s">
        <v>754</v>
      </c>
      <c r="M570" s="364"/>
      <c r="N570" s="364"/>
      <c r="O570" s="470"/>
      <c r="P570" s="470"/>
      <c r="Q570" s="470"/>
      <c r="R570" s="470"/>
      <c r="S570" s="470"/>
      <c r="T570" s="158"/>
    </row>
    <row r="571" spans="1:20" ht="12.75" customHeight="1" x14ac:dyDescent="0.3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339"/>
      <c r="N571" s="339"/>
      <c r="O571" s="282"/>
      <c r="P571" s="282"/>
      <c r="Q571" s="282"/>
      <c r="R571" s="282"/>
      <c r="S571" s="282"/>
      <c r="T571" s="158"/>
    </row>
    <row r="572" spans="1:20" ht="12.75" customHeight="1" x14ac:dyDescent="0.3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1"/>
      <c r="N572" s="451"/>
      <c r="O572" s="452"/>
      <c r="P572" s="452"/>
      <c r="Q572" s="452"/>
      <c r="R572" s="452"/>
      <c r="S572" s="452"/>
      <c r="T572" s="158"/>
    </row>
    <row r="573" spans="1:20" ht="12.75" customHeight="1" x14ac:dyDescent="0.3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1"/>
      <c r="N573" s="451"/>
      <c r="O573" s="452"/>
      <c r="P573" s="452"/>
      <c r="Q573" s="452"/>
      <c r="R573" s="452"/>
      <c r="S573" s="452"/>
      <c r="T573" s="158"/>
    </row>
    <row r="574" spans="1:20" ht="12.75" customHeight="1" x14ac:dyDescent="0.3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1"/>
      <c r="N574" s="451"/>
      <c r="O574" s="452"/>
      <c r="P574" s="452"/>
      <c r="Q574" s="452"/>
      <c r="R574" s="452"/>
      <c r="S574" s="452"/>
      <c r="T574" s="158"/>
    </row>
    <row r="575" spans="1:20" ht="12.75" customHeight="1" x14ac:dyDescent="0.3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1"/>
      <c r="N575" s="451"/>
      <c r="O575" s="452"/>
      <c r="P575" s="452"/>
      <c r="Q575" s="452"/>
      <c r="R575" s="452"/>
      <c r="S575" s="452"/>
      <c r="T575" s="158"/>
    </row>
    <row r="576" spans="1:20" ht="12.75" customHeight="1" x14ac:dyDescent="0.3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1"/>
      <c r="N576" s="451"/>
      <c r="O576" s="452"/>
      <c r="P576" s="452"/>
      <c r="Q576" s="452"/>
      <c r="R576" s="452"/>
      <c r="S576" s="452"/>
      <c r="T576" s="158"/>
    </row>
    <row r="577" spans="1:20" ht="12.75" customHeight="1" x14ac:dyDescent="0.3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1"/>
      <c r="N577" s="451"/>
      <c r="O577" s="452"/>
      <c r="P577" s="452"/>
      <c r="Q577" s="452"/>
      <c r="R577" s="452"/>
      <c r="S577" s="452"/>
      <c r="T577" s="158"/>
    </row>
    <row r="578" spans="1:20" ht="12.75" customHeight="1" x14ac:dyDescent="0.3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1"/>
      <c r="N578" s="451"/>
      <c r="O578" s="452"/>
      <c r="P578" s="452"/>
      <c r="Q578" s="452"/>
      <c r="R578" s="452"/>
      <c r="S578" s="452"/>
      <c r="T578" s="158"/>
    </row>
    <row r="579" spans="1:20" ht="12.75" customHeight="1" x14ac:dyDescent="0.3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1"/>
      <c r="N579" s="451"/>
      <c r="O579" s="452"/>
      <c r="P579" s="452"/>
      <c r="Q579" s="452"/>
      <c r="R579" s="452"/>
      <c r="S579" s="452"/>
      <c r="T579" s="158"/>
    </row>
    <row r="580" spans="1:20" ht="12.75" customHeight="1" x14ac:dyDescent="0.3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1"/>
      <c r="N580" s="451"/>
      <c r="O580" s="452"/>
      <c r="P580" s="452"/>
      <c r="Q580" s="452"/>
      <c r="R580" s="452"/>
      <c r="S580" s="452"/>
      <c r="T580" s="158"/>
    </row>
    <row r="581" spans="1:20" ht="12.75" customHeight="1" x14ac:dyDescent="0.3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1"/>
      <c r="N581" s="451"/>
      <c r="O581" s="452"/>
      <c r="P581" s="452"/>
      <c r="Q581" s="452"/>
      <c r="R581" s="452"/>
      <c r="S581" s="452"/>
      <c r="T581" s="158"/>
    </row>
    <row r="582" spans="1:20" ht="12.75" customHeight="1" x14ac:dyDescent="0.3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1"/>
      <c r="N582" s="451"/>
      <c r="O582" s="452"/>
      <c r="P582" s="452"/>
      <c r="Q582" s="452"/>
      <c r="R582" s="452"/>
      <c r="S582" s="452"/>
      <c r="T582" s="158"/>
    </row>
    <row r="583" spans="1:20" ht="12.75" customHeight="1" x14ac:dyDescent="0.3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1"/>
      <c r="N583" s="451"/>
      <c r="O583" s="452"/>
      <c r="P583" s="452"/>
      <c r="Q583" s="452"/>
      <c r="R583" s="452"/>
      <c r="S583" s="452"/>
      <c r="T583" s="158"/>
    </row>
    <row r="584" spans="1:20" ht="12.75" customHeight="1" x14ac:dyDescent="0.3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1"/>
      <c r="N584" s="451"/>
      <c r="O584" s="452"/>
      <c r="P584" s="452"/>
      <c r="Q584" s="452"/>
      <c r="R584" s="452"/>
      <c r="S584" s="452"/>
      <c r="T584" s="158"/>
    </row>
    <row r="585" spans="1:20" ht="12.75" customHeight="1" x14ac:dyDescent="0.3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1"/>
      <c r="N585" s="451"/>
      <c r="O585" s="452"/>
      <c r="P585" s="452"/>
      <c r="Q585" s="452"/>
      <c r="R585" s="452"/>
      <c r="S585" s="452"/>
      <c r="T585" s="158"/>
    </row>
    <row r="586" spans="1:20" ht="12.75" customHeight="1" x14ac:dyDescent="0.3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1"/>
      <c r="N586" s="451"/>
      <c r="O586" s="452"/>
      <c r="P586" s="452"/>
      <c r="Q586" s="452"/>
      <c r="R586" s="452"/>
      <c r="S586" s="452"/>
      <c r="T586" s="158"/>
    </row>
    <row r="587" spans="1:20" ht="12.75" customHeight="1" x14ac:dyDescent="0.3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1"/>
      <c r="N587" s="451"/>
      <c r="O587" s="452"/>
      <c r="P587" s="452"/>
      <c r="Q587" s="452"/>
      <c r="R587" s="452"/>
      <c r="S587" s="452"/>
      <c r="T587" s="158"/>
    </row>
    <row r="588" spans="1:20" ht="12.75" customHeight="1" x14ac:dyDescent="0.3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1"/>
      <c r="N588" s="451"/>
      <c r="O588" s="452"/>
      <c r="P588" s="452"/>
      <c r="Q588" s="452"/>
      <c r="R588" s="452"/>
      <c r="S588" s="452"/>
      <c r="T588" s="158"/>
    </row>
    <row r="589" spans="1:20" ht="12.75" customHeight="1" x14ac:dyDescent="0.3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1"/>
      <c r="N589" s="451"/>
      <c r="O589" s="452"/>
      <c r="P589" s="452"/>
      <c r="Q589" s="452"/>
      <c r="R589" s="452"/>
      <c r="S589" s="452"/>
      <c r="T589" s="158"/>
    </row>
    <row r="590" spans="1:20" ht="12.75" customHeight="1" x14ac:dyDescent="0.3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1"/>
      <c r="N590" s="451"/>
      <c r="O590" s="452"/>
      <c r="P590" s="452"/>
      <c r="Q590" s="452"/>
      <c r="R590" s="452"/>
      <c r="S590" s="452"/>
      <c r="T590" s="158"/>
    </row>
    <row r="591" spans="1:20" ht="12.75" customHeight="1" x14ac:dyDescent="0.3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1"/>
      <c r="N591" s="451"/>
      <c r="O591" s="452"/>
      <c r="P591" s="452"/>
      <c r="Q591" s="452"/>
      <c r="R591" s="452"/>
      <c r="S591" s="452"/>
      <c r="T591" s="158"/>
    </row>
    <row r="592" spans="1:20" ht="12.75" customHeight="1" x14ac:dyDescent="0.3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1"/>
      <c r="N592" s="451"/>
      <c r="O592" s="452"/>
      <c r="P592" s="452"/>
      <c r="Q592" s="452"/>
      <c r="R592" s="452"/>
      <c r="S592" s="452"/>
      <c r="T592" s="158"/>
    </row>
    <row r="593" spans="1:20" ht="12.75" customHeight="1" x14ac:dyDescent="0.3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1"/>
      <c r="N593" s="451"/>
      <c r="O593" s="452"/>
      <c r="P593" s="452"/>
      <c r="Q593" s="452"/>
      <c r="R593" s="452"/>
      <c r="S593" s="452"/>
      <c r="T593" s="158"/>
    </row>
    <row r="594" spans="1:20" ht="12.75" customHeight="1" x14ac:dyDescent="0.3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1"/>
      <c r="N594" s="451"/>
      <c r="O594" s="452"/>
      <c r="P594" s="452"/>
      <c r="Q594" s="452"/>
      <c r="R594" s="452"/>
      <c r="S594" s="452"/>
      <c r="T594" s="158"/>
    </row>
    <row r="595" spans="1:20" ht="12.75" customHeight="1" x14ac:dyDescent="0.3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1"/>
      <c r="N595" s="451"/>
      <c r="O595" s="452"/>
      <c r="P595" s="452"/>
      <c r="Q595" s="452"/>
      <c r="R595" s="452"/>
      <c r="S595" s="452"/>
      <c r="T595" s="158"/>
    </row>
    <row r="596" spans="1:20" ht="12.75" customHeight="1" x14ac:dyDescent="0.3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1"/>
      <c r="N596" s="451"/>
      <c r="O596" s="452"/>
      <c r="P596" s="452"/>
      <c r="Q596" s="452"/>
      <c r="R596" s="452"/>
      <c r="S596" s="452"/>
      <c r="T596" s="158"/>
    </row>
    <row r="597" spans="1:20" ht="12.75" customHeight="1" x14ac:dyDescent="0.3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1"/>
      <c r="N597" s="451"/>
      <c r="O597" s="452"/>
      <c r="P597" s="452"/>
      <c r="Q597" s="452"/>
      <c r="R597" s="452"/>
      <c r="S597" s="452"/>
      <c r="T597" s="158"/>
    </row>
    <row r="598" spans="1:20" ht="12.75" customHeight="1" x14ac:dyDescent="0.3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1"/>
      <c r="N598" s="451"/>
      <c r="O598" s="452"/>
      <c r="P598" s="452"/>
      <c r="Q598" s="452"/>
      <c r="R598" s="452"/>
      <c r="S598" s="452"/>
      <c r="T598" s="158"/>
    </row>
    <row r="599" spans="1:20" ht="12.75" customHeight="1" x14ac:dyDescent="0.3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1"/>
      <c r="N599" s="451"/>
      <c r="O599" s="452"/>
      <c r="P599" s="452"/>
      <c r="Q599" s="452"/>
      <c r="R599" s="452"/>
      <c r="S599" s="452"/>
      <c r="T599" s="158"/>
    </row>
    <row r="600" spans="1:20" ht="12.75" customHeight="1" x14ac:dyDescent="0.3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/>
      <c r="M600" s="451"/>
      <c r="N600" s="451">
        <v>1</v>
      </c>
      <c r="O600" s="452">
        <v>1</v>
      </c>
      <c r="P600" s="452">
        <v>1</v>
      </c>
      <c r="Q600" s="452">
        <v>1</v>
      </c>
      <c r="R600" s="452"/>
      <c r="S600" s="452">
        <v>1</v>
      </c>
      <c r="T600" s="158"/>
    </row>
    <row r="601" spans="1:20" ht="12.75" customHeight="1" x14ac:dyDescent="0.3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/>
      <c r="M601" s="451"/>
      <c r="N601" s="451">
        <v>1</v>
      </c>
      <c r="O601" s="452">
        <v>1</v>
      </c>
      <c r="P601" s="452">
        <v>1</v>
      </c>
      <c r="Q601" s="452">
        <v>1</v>
      </c>
      <c r="R601" s="452"/>
      <c r="S601" s="452">
        <v>1</v>
      </c>
      <c r="T601" s="158"/>
    </row>
    <row r="602" spans="1:20" ht="12.75" customHeight="1" x14ac:dyDescent="0.3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/>
      <c r="M602" s="451"/>
      <c r="N602" s="451">
        <v>1</v>
      </c>
      <c r="O602" s="452">
        <v>1</v>
      </c>
      <c r="P602" s="452">
        <v>1</v>
      </c>
      <c r="Q602" s="452">
        <v>1</v>
      </c>
      <c r="R602" s="452"/>
      <c r="S602" s="452">
        <v>1</v>
      </c>
      <c r="T602" s="158"/>
    </row>
    <row r="603" spans="1:20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356"/>
      <c r="N603" s="356"/>
      <c r="O603" s="471"/>
      <c r="P603" s="471"/>
      <c r="Q603" s="471"/>
      <c r="R603" s="471"/>
      <c r="S603" s="471"/>
      <c r="T603" s="158"/>
    </row>
    <row r="604" spans="1:20" ht="12.75" customHeight="1" x14ac:dyDescent="0.3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339"/>
      <c r="N604" s="339"/>
      <c r="O604" s="282"/>
      <c r="P604" s="282"/>
      <c r="Q604" s="282"/>
      <c r="R604" s="282"/>
      <c r="S604" s="282"/>
      <c r="T604" s="158"/>
    </row>
    <row r="605" spans="1:20" ht="12.75" customHeight="1" x14ac:dyDescent="0.3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339"/>
      <c r="N605" s="339"/>
      <c r="O605" s="282"/>
      <c r="P605" s="282"/>
      <c r="Q605" s="282"/>
      <c r="R605" s="282"/>
      <c r="S605" s="282"/>
      <c r="T605" s="158"/>
    </row>
    <row r="606" spans="1:20" ht="12.75" customHeight="1" x14ac:dyDescent="0.3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339"/>
      <c r="N606" s="339"/>
      <c r="O606" s="282"/>
      <c r="P606" s="282"/>
      <c r="Q606" s="282"/>
      <c r="R606" s="282"/>
      <c r="S606" s="282"/>
      <c r="T606" s="158"/>
    </row>
    <row r="607" spans="1:20" ht="12.75" customHeight="1" x14ac:dyDescent="0.3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 t="s">
        <v>754</v>
      </c>
      <c r="M607" s="364"/>
      <c r="N607" s="364"/>
      <c r="O607" s="470"/>
      <c r="P607" s="470"/>
      <c r="Q607" s="470"/>
      <c r="R607" s="470"/>
      <c r="S607" s="470"/>
      <c r="T607" s="158"/>
    </row>
    <row r="608" spans="1:20" ht="12.75" customHeight="1" x14ac:dyDescent="0.3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339"/>
      <c r="N608" s="339"/>
      <c r="O608" s="282"/>
      <c r="P608" s="282"/>
      <c r="Q608" s="282"/>
      <c r="R608" s="282"/>
      <c r="S608" s="282"/>
      <c r="T608" s="158"/>
    </row>
    <row r="609" spans="1:20" ht="12.75" customHeight="1" x14ac:dyDescent="0.3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1"/>
      <c r="N609" s="451"/>
      <c r="O609" s="452"/>
      <c r="P609" s="452"/>
      <c r="Q609" s="452"/>
      <c r="R609" s="452"/>
      <c r="S609" s="452"/>
      <c r="T609" s="158"/>
    </row>
    <row r="610" spans="1:20" ht="12.75" customHeight="1" x14ac:dyDescent="0.3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1"/>
      <c r="N610" s="451"/>
      <c r="O610" s="452"/>
      <c r="P610" s="452"/>
      <c r="Q610" s="452"/>
      <c r="R610" s="452"/>
      <c r="S610" s="452"/>
      <c r="T610" s="158"/>
    </row>
    <row r="611" spans="1:20" ht="12.75" customHeight="1" x14ac:dyDescent="0.3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1"/>
      <c r="N611" s="451"/>
      <c r="O611" s="452"/>
      <c r="P611" s="452"/>
      <c r="Q611" s="452"/>
      <c r="R611" s="452"/>
      <c r="S611" s="452"/>
      <c r="T611" s="158"/>
    </row>
    <row r="612" spans="1:20" ht="12.75" customHeight="1" x14ac:dyDescent="0.3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1"/>
      <c r="N612" s="451"/>
      <c r="O612" s="452"/>
      <c r="P612" s="452"/>
      <c r="Q612" s="452"/>
      <c r="R612" s="452"/>
      <c r="S612" s="452"/>
      <c r="T612" s="158"/>
    </row>
    <row r="613" spans="1:20" ht="12.75" customHeight="1" x14ac:dyDescent="0.3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1"/>
      <c r="N613" s="451"/>
      <c r="O613" s="452"/>
      <c r="P613" s="452"/>
      <c r="Q613" s="452"/>
      <c r="R613" s="452"/>
      <c r="S613" s="452"/>
      <c r="T613" s="158"/>
    </row>
    <row r="614" spans="1:20" ht="12.75" customHeight="1" x14ac:dyDescent="0.3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1"/>
      <c r="N614" s="451"/>
      <c r="O614" s="452"/>
      <c r="P614" s="452"/>
      <c r="Q614" s="452"/>
      <c r="R614" s="452"/>
      <c r="S614" s="452"/>
      <c r="T614" s="158"/>
    </row>
    <row r="615" spans="1:20" ht="12.75" customHeight="1" x14ac:dyDescent="0.3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1"/>
      <c r="N615" s="451"/>
      <c r="O615" s="452"/>
      <c r="P615" s="452"/>
      <c r="Q615" s="452"/>
      <c r="R615" s="452"/>
      <c r="S615" s="452"/>
      <c r="T615" s="158"/>
    </row>
    <row r="616" spans="1:20" ht="12.75" customHeight="1" x14ac:dyDescent="0.3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1"/>
      <c r="N616" s="451"/>
      <c r="O616" s="452"/>
      <c r="P616" s="452"/>
      <c r="Q616" s="452"/>
      <c r="R616" s="452"/>
      <c r="S616" s="452"/>
      <c r="T616" s="158"/>
    </row>
    <row r="617" spans="1:20" ht="12.75" customHeight="1" x14ac:dyDescent="0.3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1"/>
      <c r="N617" s="451"/>
      <c r="O617" s="452"/>
      <c r="P617" s="452"/>
      <c r="Q617" s="452"/>
      <c r="R617" s="452"/>
      <c r="S617" s="452"/>
      <c r="T617" s="158"/>
    </row>
    <row r="618" spans="1:20" ht="12.75" customHeight="1" x14ac:dyDescent="0.3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/>
      <c r="M618" s="451"/>
      <c r="N618" s="451">
        <v>990</v>
      </c>
      <c r="O618" s="452">
        <v>990</v>
      </c>
      <c r="P618" s="452"/>
      <c r="Q618" s="452">
        <v>990</v>
      </c>
      <c r="R618" s="452">
        <v>990</v>
      </c>
      <c r="S618" s="452">
        <v>990</v>
      </c>
      <c r="T618" s="158"/>
    </row>
    <row r="619" spans="1:20" ht="12.75" customHeight="1" x14ac:dyDescent="0.3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/>
      <c r="M619" s="451"/>
      <c r="N619" s="451">
        <v>10</v>
      </c>
      <c r="O619" s="452">
        <v>10</v>
      </c>
      <c r="P619" s="452"/>
      <c r="Q619" s="452">
        <v>10</v>
      </c>
      <c r="R619" s="452">
        <v>10</v>
      </c>
      <c r="S619" s="452">
        <v>10</v>
      </c>
      <c r="T619" s="158"/>
    </row>
    <row r="620" spans="1:20" ht="12.75" customHeight="1" x14ac:dyDescent="0.3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1"/>
      <c r="N620" s="451"/>
      <c r="O620" s="452"/>
      <c r="P620" s="452"/>
      <c r="Q620" s="452"/>
      <c r="R620" s="452"/>
      <c r="S620" s="452"/>
      <c r="T620" s="158"/>
    </row>
    <row r="621" spans="1:20" ht="12.75" customHeight="1" x14ac:dyDescent="0.3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1"/>
      <c r="N621" s="451"/>
      <c r="O621" s="452"/>
      <c r="P621" s="452"/>
      <c r="Q621" s="452"/>
      <c r="R621" s="452"/>
      <c r="S621" s="452"/>
      <c r="T621" s="158"/>
    </row>
    <row r="622" spans="1:20" ht="12.75" customHeight="1" x14ac:dyDescent="0.3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/>
      <c r="M622" s="451"/>
      <c r="N622" s="451">
        <v>4.9999999999999995E-11</v>
      </c>
      <c r="O622" s="452">
        <v>4.9999999999999995E-11</v>
      </c>
      <c r="P622" s="452">
        <v>4.9999999999999995E-11</v>
      </c>
      <c r="Q622" s="452">
        <v>4.9999999999999995E-11</v>
      </c>
      <c r="R622" s="452">
        <v>4.9999999999999995E-11</v>
      </c>
      <c r="S622" s="452"/>
      <c r="T622" s="158"/>
    </row>
    <row r="623" spans="1:20" ht="12.75" customHeight="1" x14ac:dyDescent="0.3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/>
      <c r="M623" s="451"/>
      <c r="N623" s="451">
        <v>9.9999999999999995E-21</v>
      </c>
      <c r="O623" s="452">
        <v>9.9999999999999995E-21</v>
      </c>
      <c r="P623" s="452">
        <v>9.9999999999999995E-21</v>
      </c>
      <c r="Q623" s="452">
        <v>9.9999999999999995E-21</v>
      </c>
      <c r="R623" s="452">
        <v>9.9999999999999995E-21</v>
      </c>
      <c r="S623" s="452"/>
      <c r="T623" s="158"/>
    </row>
    <row r="624" spans="1:20" ht="12.75" customHeight="1" x14ac:dyDescent="0.3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1"/>
      <c r="N624" s="451"/>
      <c r="O624" s="452"/>
      <c r="P624" s="452"/>
      <c r="Q624" s="452"/>
      <c r="R624" s="452"/>
      <c r="S624" s="452"/>
      <c r="T624" s="158"/>
    </row>
    <row r="625" spans="1:20" ht="12.75" customHeight="1" x14ac:dyDescent="0.3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1"/>
      <c r="N625" s="451"/>
      <c r="O625" s="452"/>
      <c r="P625" s="452"/>
      <c r="Q625" s="452"/>
      <c r="R625" s="452"/>
      <c r="S625" s="452"/>
      <c r="T625" s="158"/>
    </row>
    <row r="626" spans="1:20" ht="12.75" customHeight="1" x14ac:dyDescent="0.3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1"/>
      <c r="N626" s="451"/>
      <c r="O626" s="452"/>
      <c r="P626" s="452"/>
      <c r="Q626" s="452"/>
      <c r="R626" s="452"/>
      <c r="S626" s="452"/>
      <c r="T626" s="158"/>
    </row>
    <row r="627" spans="1:20" ht="12.75" customHeight="1" x14ac:dyDescent="0.3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1"/>
      <c r="N627" s="451"/>
      <c r="O627" s="452"/>
      <c r="P627" s="452"/>
      <c r="Q627" s="452"/>
      <c r="R627" s="452"/>
      <c r="S627" s="452"/>
      <c r="T627" s="158"/>
    </row>
    <row r="628" spans="1:20" ht="12.75" customHeight="1" x14ac:dyDescent="0.3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1"/>
      <c r="N628" s="451"/>
      <c r="O628" s="452"/>
      <c r="P628" s="452"/>
      <c r="Q628" s="452"/>
      <c r="R628" s="452"/>
      <c r="S628" s="452"/>
      <c r="T628" s="158"/>
    </row>
    <row r="629" spans="1:20" ht="12.75" customHeight="1" x14ac:dyDescent="0.3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59"/>
      <c r="N629" s="459"/>
      <c r="O629" s="460"/>
      <c r="P629" s="460"/>
      <c r="Q629" s="460"/>
      <c r="R629" s="460"/>
      <c r="S629" s="460"/>
      <c r="T629" s="158"/>
    </row>
    <row r="630" spans="1:20" ht="12.75" customHeight="1" x14ac:dyDescent="0.3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1"/>
      <c r="N630" s="451"/>
      <c r="O630" s="452"/>
      <c r="P630" s="452"/>
      <c r="Q630" s="452"/>
      <c r="R630" s="452"/>
      <c r="S630" s="452"/>
      <c r="T630" s="158"/>
    </row>
    <row r="631" spans="1:20" ht="12.75" customHeight="1" x14ac:dyDescent="0.3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1"/>
      <c r="N631" s="451"/>
      <c r="O631" s="452"/>
      <c r="P631" s="452"/>
      <c r="Q631" s="452"/>
      <c r="R631" s="452"/>
      <c r="S631" s="452"/>
      <c r="T631" s="158"/>
    </row>
    <row r="632" spans="1:20" ht="12.75" customHeight="1" x14ac:dyDescent="0.3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1"/>
      <c r="N632" s="451"/>
      <c r="O632" s="452"/>
      <c r="P632" s="452"/>
      <c r="Q632" s="452"/>
      <c r="R632" s="452"/>
      <c r="S632" s="452"/>
      <c r="T632" s="158"/>
    </row>
    <row r="633" spans="1:20" ht="12.75" customHeight="1" x14ac:dyDescent="0.3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339"/>
      <c r="N633" s="339"/>
      <c r="O633" s="282"/>
      <c r="P633" s="282"/>
      <c r="Q633" s="282"/>
      <c r="R633" s="282"/>
      <c r="S633" s="282"/>
      <c r="T633" s="158"/>
    </row>
    <row r="634" spans="1:20" ht="12.75" customHeight="1" x14ac:dyDescent="0.3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1"/>
      <c r="N634" s="451"/>
      <c r="O634" s="452"/>
      <c r="P634" s="452"/>
      <c r="Q634" s="452"/>
      <c r="R634" s="452"/>
      <c r="S634" s="452"/>
      <c r="T634" s="158"/>
    </row>
    <row r="635" spans="1:20" ht="12.75" customHeight="1" x14ac:dyDescent="0.3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1"/>
      <c r="N635" s="451"/>
      <c r="O635" s="452"/>
      <c r="P635" s="452"/>
      <c r="Q635" s="452"/>
      <c r="R635" s="452"/>
      <c r="S635" s="452"/>
      <c r="T635" s="158"/>
    </row>
    <row r="636" spans="1:20" ht="12.75" customHeight="1" x14ac:dyDescent="0.3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1"/>
      <c r="N636" s="451"/>
      <c r="O636" s="452"/>
      <c r="P636" s="452"/>
      <c r="Q636" s="452"/>
      <c r="R636" s="452"/>
      <c r="S636" s="452"/>
      <c r="T636" s="158"/>
    </row>
    <row r="637" spans="1:20" ht="12.75" customHeight="1" x14ac:dyDescent="0.3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1"/>
      <c r="N637" s="451"/>
      <c r="O637" s="452"/>
      <c r="P637" s="452"/>
      <c r="Q637" s="452"/>
      <c r="R637" s="452"/>
      <c r="S637" s="452"/>
      <c r="T637" s="158"/>
    </row>
    <row r="638" spans="1:20" ht="12.75" customHeight="1" x14ac:dyDescent="0.3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/>
      <c r="M638" s="451"/>
      <c r="N638" s="451">
        <v>9.9999999999999995E-21</v>
      </c>
      <c r="O638" s="452">
        <v>9.9999999999999995E-21</v>
      </c>
      <c r="P638" s="452"/>
      <c r="Q638" s="452">
        <v>9.9999999999999995E-21</v>
      </c>
      <c r="R638" s="452">
        <v>9.9999999999999995E-21</v>
      </c>
      <c r="S638" s="452">
        <v>9.9999999999999995E-21</v>
      </c>
      <c r="T638" s="158"/>
    </row>
    <row r="639" spans="1:20" ht="12.75" customHeight="1" x14ac:dyDescent="0.3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1"/>
      <c r="N639" s="451"/>
      <c r="O639" s="452"/>
      <c r="P639" s="452"/>
      <c r="Q639" s="452"/>
      <c r="R639" s="452"/>
      <c r="S639" s="452"/>
      <c r="T639" s="158"/>
    </row>
    <row r="640" spans="1:20" ht="12.75" customHeight="1" x14ac:dyDescent="0.3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/>
      <c r="M640" s="451"/>
      <c r="N640" s="451">
        <v>50497524.691810384</v>
      </c>
      <c r="O640" s="452">
        <v>50497524.691810384</v>
      </c>
      <c r="P640" s="452"/>
      <c r="Q640" s="452">
        <v>50497524.691810384</v>
      </c>
      <c r="R640" s="452">
        <v>50497524.691810384</v>
      </c>
      <c r="S640" s="452">
        <v>50497524.691810384</v>
      </c>
      <c r="T640" s="158"/>
    </row>
    <row r="641" spans="1:20" ht="12.75" customHeight="1" x14ac:dyDescent="0.3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/>
      <c r="M641" s="451"/>
      <c r="N641" s="451">
        <v>94472218.138455927</v>
      </c>
      <c r="O641" s="452">
        <v>94472218.138455927</v>
      </c>
      <c r="P641" s="452"/>
      <c r="Q641" s="452">
        <v>94472218.138455927</v>
      </c>
      <c r="R641" s="452">
        <v>94472218.138455927</v>
      </c>
      <c r="S641" s="452">
        <v>94472218.138455927</v>
      </c>
      <c r="T641" s="158"/>
    </row>
    <row r="642" spans="1:20" ht="12.75" customHeight="1" x14ac:dyDescent="0.3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1"/>
      <c r="N642" s="451"/>
      <c r="O642" s="452"/>
      <c r="P642" s="452"/>
      <c r="Q642" s="452"/>
      <c r="R642" s="452"/>
      <c r="S642" s="452"/>
      <c r="T642" s="158"/>
    </row>
    <row r="643" spans="1:20" ht="12.75" customHeight="1" x14ac:dyDescent="0.3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1"/>
      <c r="N643" s="451"/>
      <c r="O643" s="452"/>
      <c r="P643" s="452"/>
      <c r="Q643" s="452"/>
      <c r="R643" s="452"/>
      <c r="S643" s="452"/>
      <c r="T643" s="158"/>
    </row>
    <row r="644" spans="1:20" ht="12.75" customHeight="1" x14ac:dyDescent="0.3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1"/>
      <c r="N644" s="451"/>
      <c r="O644" s="452"/>
      <c r="P644" s="452"/>
      <c r="Q644" s="452"/>
      <c r="R644" s="452"/>
      <c r="S644" s="452"/>
      <c r="T644" s="158"/>
    </row>
    <row r="645" spans="1:20" ht="12.75" customHeight="1" x14ac:dyDescent="0.3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1"/>
      <c r="N645" s="451"/>
      <c r="O645" s="452"/>
      <c r="P645" s="452"/>
      <c r="Q645" s="452"/>
      <c r="R645" s="452"/>
      <c r="S645" s="452"/>
      <c r="T645" s="158"/>
    </row>
    <row r="646" spans="1:20" ht="12.75" customHeight="1" x14ac:dyDescent="0.3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1"/>
      <c r="N646" s="451"/>
      <c r="O646" s="452"/>
      <c r="P646" s="452"/>
      <c r="Q646" s="452"/>
      <c r="R646" s="452"/>
      <c r="S646" s="452"/>
      <c r="T646" s="158"/>
    </row>
    <row r="647" spans="1:20" ht="12.75" customHeight="1" x14ac:dyDescent="0.3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339"/>
      <c r="N647" s="339"/>
      <c r="O647" s="282"/>
      <c r="P647" s="282"/>
      <c r="Q647" s="282"/>
      <c r="R647" s="282"/>
      <c r="S647" s="282"/>
      <c r="T647" s="158"/>
    </row>
    <row r="648" spans="1:20" ht="12.75" customHeight="1" x14ac:dyDescent="0.3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 t="s">
        <v>754</v>
      </c>
      <c r="M648" s="364"/>
      <c r="N648" s="364"/>
      <c r="O648" s="470"/>
      <c r="P648" s="470"/>
      <c r="Q648" s="470"/>
      <c r="R648" s="470"/>
      <c r="S648" s="470"/>
      <c r="T648" s="158"/>
    </row>
    <row r="649" spans="1:20" ht="12.75" customHeight="1" x14ac:dyDescent="0.3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339"/>
      <c r="N649" s="339"/>
      <c r="O649" s="282"/>
      <c r="P649" s="282"/>
      <c r="Q649" s="282"/>
      <c r="R649" s="282"/>
      <c r="S649" s="282"/>
      <c r="T649" s="158"/>
    </row>
    <row r="650" spans="1:20" ht="12.75" customHeight="1" x14ac:dyDescent="0.3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/>
      <c r="M650" s="451"/>
      <c r="N650" s="451">
        <f t="shared" ref="N650:R650" si="13">1-(0.0000258)/(IF(Tm&gt;298,EXP(-6.79*(1-Tm/298))*Pvap25*EXP((H0vap/8.314)*(1/298-1/TEMP.M)),Pvap25*EXP((H0vap/8.314)*(1/298-1/TEMP.M)))+(0.0000258))</f>
        <v>0.99997877209453978</v>
      </c>
      <c r="O650" s="452">
        <f t="shared" si="13"/>
        <v>0.99997877209453978</v>
      </c>
      <c r="P650" s="452">
        <f t="shared" si="13"/>
        <v>0.99997877209453978</v>
      </c>
      <c r="Q650" s="452">
        <f t="shared" si="13"/>
        <v>0.99997877209453978</v>
      </c>
      <c r="R650" s="452">
        <f t="shared" si="13"/>
        <v>0.99997877209453978</v>
      </c>
      <c r="S650" s="452"/>
      <c r="T650" s="158"/>
    </row>
    <row r="651" spans="1:20" ht="12.75" customHeight="1" x14ac:dyDescent="0.3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1"/>
      <c r="N651" s="451"/>
      <c r="O651" s="452"/>
      <c r="P651" s="452"/>
      <c r="Q651" s="452"/>
      <c r="R651" s="452"/>
      <c r="S651" s="452"/>
      <c r="T651" s="158"/>
    </row>
    <row r="652" spans="1:20" ht="12.75" customHeight="1" x14ac:dyDescent="0.3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/>
      <c r="M652" s="451"/>
      <c r="N652" s="451">
        <f t="shared" ref="N652:R652" si="14">(0.0000258)/(IF(Tm&gt;298,EXP(-6.79*(1-Tm/298))*Pvap25*EXP((H0vap/8.314)*(1/298-1/TEMP.M)),Pvap25*EXP((H0vap/8.314)*(1/298-1/TEMP.M)))+(0.0000258))</f>
        <v>2.1227905460237186E-5</v>
      </c>
      <c r="O652" s="452">
        <f t="shared" si="14"/>
        <v>2.1227905460237186E-5</v>
      </c>
      <c r="P652" s="452">
        <f t="shared" si="14"/>
        <v>2.1227905460237186E-5</v>
      </c>
      <c r="Q652" s="452">
        <f t="shared" si="14"/>
        <v>2.1227905460237186E-5</v>
      </c>
      <c r="R652" s="452">
        <f t="shared" si="14"/>
        <v>2.1227905460237186E-5</v>
      </c>
      <c r="S652" s="452"/>
      <c r="T652" s="158"/>
    </row>
    <row r="653" spans="1:20" ht="12.75" customHeight="1" x14ac:dyDescent="0.3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1"/>
      <c r="N653" s="451"/>
      <c r="O653" s="452"/>
      <c r="P653" s="452"/>
      <c r="Q653" s="452"/>
      <c r="R653" s="452"/>
      <c r="S653" s="452"/>
      <c r="T653" s="158"/>
    </row>
    <row r="654" spans="1:20" ht="12.75" customHeight="1" x14ac:dyDescent="0.3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1"/>
      <c r="N654" s="451"/>
      <c r="O654" s="452"/>
      <c r="P654" s="452"/>
      <c r="Q654" s="452"/>
      <c r="R654" s="452"/>
      <c r="S654" s="452"/>
      <c r="T654" s="158"/>
    </row>
    <row r="655" spans="1:20" ht="12.75" customHeight="1" x14ac:dyDescent="0.3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1"/>
      <c r="N655" s="451"/>
      <c r="O655" s="452"/>
      <c r="P655" s="452"/>
      <c r="Q655" s="452"/>
      <c r="R655" s="452"/>
      <c r="S655" s="452"/>
      <c r="T655" s="158"/>
    </row>
    <row r="656" spans="1:20" ht="12.75" customHeight="1" x14ac:dyDescent="0.3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1"/>
      <c r="N656" s="451"/>
      <c r="O656" s="452"/>
      <c r="P656" s="452"/>
      <c r="Q656" s="452"/>
      <c r="R656" s="452"/>
      <c r="S656" s="452"/>
      <c r="T656" s="158"/>
    </row>
    <row r="657" spans="1:20" ht="12.75" customHeight="1" x14ac:dyDescent="0.3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/>
      <c r="M657" s="451"/>
      <c r="N657" s="451">
        <f t="shared" ref="N657:R657" si="15">1/(1+Kp.susp2M*SUSP.w2M/1000+0.05*Kow*0.001/1000)</f>
        <v>0.97560889946535656</v>
      </c>
      <c r="O657" s="452">
        <f t="shared" si="15"/>
        <v>0.97560889946535656</v>
      </c>
      <c r="P657" s="452">
        <f t="shared" si="15"/>
        <v>0.97560889946535656</v>
      </c>
      <c r="Q657" s="452">
        <f t="shared" si="15"/>
        <v>0.97560889946535656</v>
      </c>
      <c r="R657" s="452">
        <f t="shared" si="15"/>
        <v>0.97560889946535656</v>
      </c>
      <c r="S657" s="452"/>
      <c r="T657" s="158"/>
    </row>
    <row r="658" spans="1:20" ht="12.75" customHeight="1" x14ac:dyDescent="0.3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/>
      <c r="M658" s="451"/>
      <c r="N658" s="451">
        <f t="shared" ref="N658:R658" si="16">1/(1+Kp.susp3M*SUSP.w3M/1000+0.05*Kow*0.001/1000)</f>
        <v>0.97560889946535656</v>
      </c>
      <c r="O658" s="452">
        <f t="shared" si="16"/>
        <v>0.97560889946535656</v>
      </c>
      <c r="P658" s="452">
        <f t="shared" si="16"/>
        <v>0.97560889946535656</v>
      </c>
      <c r="Q658" s="452">
        <f t="shared" si="16"/>
        <v>0.97560889946535656</v>
      </c>
      <c r="R658" s="452">
        <f t="shared" si="16"/>
        <v>0.97560889946535656</v>
      </c>
      <c r="S658" s="452"/>
      <c r="T658" s="158"/>
    </row>
    <row r="659" spans="1:20" ht="12.75" customHeight="1" x14ac:dyDescent="0.3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1"/>
      <c r="N659" s="451"/>
      <c r="O659" s="452"/>
      <c r="P659" s="452"/>
      <c r="Q659" s="452"/>
      <c r="R659" s="452"/>
      <c r="S659" s="452"/>
      <c r="T659" s="158"/>
    </row>
    <row r="660" spans="1:20" ht="12.75" customHeight="1" x14ac:dyDescent="0.3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1"/>
      <c r="N660" s="451"/>
      <c r="O660" s="452"/>
      <c r="P660" s="452"/>
      <c r="Q660" s="452"/>
      <c r="R660" s="452"/>
      <c r="S660" s="452"/>
      <c r="T660" s="158"/>
    </row>
    <row r="661" spans="1:20" ht="12.75" customHeight="1" x14ac:dyDescent="0.3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1"/>
      <c r="N661" s="451"/>
      <c r="O661" s="452"/>
      <c r="P661" s="452"/>
      <c r="Q661" s="452"/>
      <c r="R661" s="452"/>
      <c r="S661" s="452"/>
      <c r="T661" s="158"/>
    </row>
    <row r="662" spans="1:20" ht="12.75" customHeight="1" x14ac:dyDescent="0.3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1"/>
      <c r="N662" s="451"/>
      <c r="O662" s="452"/>
      <c r="P662" s="452"/>
      <c r="Q662" s="452"/>
      <c r="R662" s="452"/>
      <c r="S662" s="452"/>
      <c r="T662" s="158"/>
    </row>
    <row r="663" spans="1:20" ht="12.75" customHeight="1" x14ac:dyDescent="0.3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1"/>
      <c r="N663" s="451"/>
      <c r="O663" s="452"/>
      <c r="P663" s="452"/>
      <c r="Q663" s="452"/>
      <c r="R663" s="452"/>
      <c r="S663" s="452"/>
      <c r="T663" s="158"/>
    </row>
    <row r="664" spans="1:20" ht="12.75" customHeight="1" x14ac:dyDescent="0.3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1"/>
      <c r="N664" s="451"/>
      <c r="O664" s="452"/>
      <c r="P664" s="452"/>
      <c r="Q664" s="452"/>
      <c r="R664" s="452"/>
      <c r="S664" s="452"/>
      <c r="T664" s="158"/>
    </row>
    <row r="665" spans="1:20" ht="12.75" customHeight="1" x14ac:dyDescent="0.3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1"/>
      <c r="N665" s="451"/>
      <c r="O665" s="452"/>
      <c r="P665" s="452"/>
      <c r="Q665" s="452"/>
      <c r="R665" s="452"/>
      <c r="S665" s="452"/>
      <c r="T665" s="158"/>
    </row>
    <row r="666" spans="1:20" ht="12.75" customHeight="1" x14ac:dyDescent="0.3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1"/>
      <c r="N666" s="451"/>
      <c r="O666" s="452"/>
      <c r="P666" s="452"/>
      <c r="Q666" s="452"/>
      <c r="R666" s="452"/>
      <c r="S666" s="452"/>
      <c r="T666" s="158"/>
    </row>
    <row r="667" spans="1:20" ht="12.75" customHeight="1" x14ac:dyDescent="0.3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1"/>
      <c r="N667" s="451"/>
      <c r="O667" s="452"/>
      <c r="P667" s="452"/>
      <c r="Q667" s="452"/>
      <c r="R667" s="452"/>
      <c r="S667" s="452"/>
      <c r="T667" s="158"/>
    </row>
    <row r="668" spans="1:20" ht="12.75" customHeight="1" x14ac:dyDescent="0.3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1"/>
      <c r="N668" s="451"/>
      <c r="O668" s="452"/>
      <c r="P668" s="452"/>
      <c r="Q668" s="452"/>
      <c r="R668" s="452"/>
      <c r="S668" s="452"/>
      <c r="T668" s="158"/>
    </row>
    <row r="669" spans="1:20" ht="12.75" customHeight="1" x14ac:dyDescent="0.3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1"/>
      <c r="N669" s="451"/>
      <c r="O669" s="452"/>
      <c r="P669" s="452"/>
      <c r="Q669" s="452"/>
      <c r="R669" s="452"/>
      <c r="S669" s="452"/>
      <c r="T669" s="158"/>
    </row>
    <row r="670" spans="1:20" ht="12.75" customHeight="1" x14ac:dyDescent="0.3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1"/>
      <c r="N670" s="451"/>
      <c r="O670" s="452"/>
      <c r="P670" s="452"/>
      <c r="Q670" s="452"/>
      <c r="R670" s="452"/>
      <c r="S670" s="452"/>
      <c r="T670" s="158"/>
    </row>
    <row r="671" spans="1:20" ht="12.75" customHeight="1" x14ac:dyDescent="0.3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1"/>
      <c r="N671" s="451"/>
      <c r="O671" s="452"/>
      <c r="P671" s="452"/>
      <c r="Q671" s="452"/>
      <c r="R671" s="452"/>
      <c r="S671" s="452"/>
      <c r="T671" s="158"/>
    </row>
    <row r="672" spans="1:20" ht="12.75" customHeight="1" x14ac:dyDescent="0.3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1"/>
      <c r="N672" s="451"/>
      <c r="O672" s="452"/>
      <c r="P672" s="452"/>
      <c r="Q672" s="452"/>
      <c r="R672" s="452"/>
      <c r="S672" s="452"/>
      <c r="T672" s="158"/>
    </row>
    <row r="673" spans="1:20" ht="12.75" customHeight="1" x14ac:dyDescent="0.3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1"/>
      <c r="N673" s="451"/>
      <c r="O673" s="452"/>
      <c r="P673" s="452"/>
      <c r="Q673" s="452"/>
      <c r="R673" s="452"/>
      <c r="S673" s="452"/>
      <c r="T673" s="158"/>
    </row>
    <row r="674" spans="1:20" ht="12.75" customHeight="1" x14ac:dyDescent="0.3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1"/>
      <c r="N674" s="451"/>
      <c r="O674" s="452"/>
      <c r="P674" s="452"/>
      <c r="Q674" s="452"/>
      <c r="R674" s="452"/>
      <c r="S674" s="452"/>
      <c r="T674" s="158"/>
    </row>
    <row r="675" spans="1:20" ht="12.75" customHeight="1" x14ac:dyDescent="0.3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1"/>
      <c r="N675" s="451"/>
      <c r="O675" s="452"/>
      <c r="P675" s="452"/>
      <c r="Q675" s="452"/>
      <c r="R675" s="452"/>
      <c r="S675" s="452"/>
      <c r="T675" s="158"/>
    </row>
    <row r="676" spans="1:20" ht="12.75" customHeight="1" x14ac:dyDescent="0.3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1"/>
      <c r="N676" s="451"/>
      <c r="O676" s="452"/>
      <c r="P676" s="452"/>
      <c r="Q676" s="452"/>
      <c r="R676" s="452"/>
      <c r="S676" s="452"/>
      <c r="T676" s="158"/>
    </row>
    <row r="677" spans="1:20" ht="12.75" customHeight="1" x14ac:dyDescent="0.3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339"/>
      <c r="N677" s="339"/>
      <c r="O677" s="282"/>
      <c r="P677" s="282"/>
      <c r="Q677" s="282"/>
      <c r="R677" s="282"/>
      <c r="S677" s="282"/>
      <c r="T677" s="158"/>
    </row>
    <row r="678" spans="1:20" ht="12.75" customHeight="1" x14ac:dyDescent="0.3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 t="s">
        <v>754</v>
      </c>
      <c r="M678" s="364"/>
      <c r="N678" s="364"/>
      <c r="O678" s="470"/>
      <c r="P678" s="470"/>
      <c r="Q678" s="470"/>
      <c r="R678" s="470"/>
      <c r="S678" s="470"/>
      <c r="T678" s="158"/>
    </row>
    <row r="679" spans="1:20" ht="12.75" customHeight="1" x14ac:dyDescent="0.3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339"/>
      <c r="N679" s="339"/>
      <c r="O679" s="282"/>
      <c r="P679" s="282"/>
      <c r="Q679" s="282"/>
      <c r="R679" s="282"/>
      <c r="S679" s="282"/>
      <c r="T679" s="158"/>
    </row>
    <row r="680" spans="1:20" ht="12.75" customHeight="1" x14ac:dyDescent="0.3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/>
      <c r="M680" s="451"/>
      <c r="N680" s="451">
        <f>((DRYDEPaerosol.M+AerosolWashout.M+GasWashout.M+GASABS.aM.wM)/HEIGHT.aC)*AREAFRAC.wM</f>
        <v>5.3078793028009823</v>
      </c>
      <c r="O680" s="451">
        <f>((DRYDEPaerosol.M+AerosolWashout.M+GasWashout.M+GASABS.aM.wM)/HEIGHT.aC)*AREAFRAC.wM</f>
        <v>5.3078793028009823</v>
      </c>
      <c r="P680" s="451">
        <f>((DRYDEPaerosol.M+AerosolWashout.M+GasWashout.M+GASABS.aM.wM)/HEIGHT.aC)*AREAFRAC.wM</f>
        <v>5.3078793028009823</v>
      </c>
      <c r="Q680" s="451">
        <f>((DRYDEPaerosol.M+AerosolWashout.M+GasWashout.M+GASABS.aM.wM)/HEIGHT.aC)*AREAFRAC.wM</f>
        <v>5.3078793028009823</v>
      </c>
      <c r="R680" s="451">
        <f>((DRYDEPaerosol.M+AerosolWashout.M+GasWashout.M+GASABS.aM.wM)/HEIGHT.aC)*AREAFRAC.wM</f>
        <v>5.3078793028009823</v>
      </c>
      <c r="S680" s="452"/>
      <c r="T680" s="158"/>
    </row>
    <row r="681" spans="1:20" ht="12.75" customHeight="1" x14ac:dyDescent="0.3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/>
      <c r="M681" s="451"/>
      <c r="N681" s="451">
        <f>((DRYDEPaerosol.M+AerosolWashout.M+GasWashout.M+GASABS.aM.sM)/HEIGHT.aC)*AREAFRAC.sM</f>
        <v>5.3078793028009823</v>
      </c>
      <c r="O681" s="452">
        <f>((DRYDEPaerosol.M+AerosolWashout.M+GasWashout.M+GASABS.aM.sM)/HEIGHT.aC)*AREAFRAC.sM</f>
        <v>5.3078793028009823</v>
      </c>
      <c r="P681" s="452">
        <f>((DRYDEPaerosol.M+AerosolWashout.M+GasWashout.M+GASABS.aM.sM)/HEIGHT.aC)*AREAFRAC.sM</f>
        <v>5.3078793028009823</v>
      </c>
      <c r="Q681" s="452">
        <f>((DRYDEPaerosol.M+AerosolWashout.M+GasWashout.M+GASABS.aM.sM)/HEIGHT.aC)*AREAFRAC.sM</f>
        <v>5.3078793028009823</v>
      </c>
      <c r="R681" s="452">
        <f>((DRYDEPaerosol.M+AerosolWashout.M+GasWashout.M+GASABS.aM.sM)/HEIGHT.aC)*AREAFRAC.sM</f>
        <v>5.3078793028009823</v>
      </c>
      <c r="S681" s="452"/>
      <c r="T681" s="158"/>
    </row>
    <row r="682" spans="1:20" ht="12.75" customHeight="1" x14ac:dyDescent="0.3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1"/>
      <c r="N682" s="451"/>
      <c r="O682" s="452"/>
      <c r="P682" s="452"/>
      <c r="Q682" s="452"/>
      <c r="R682" s="452"/>
      <c r="S682" s="452"/>
      <c r="T682" s="158"/>
    </row>
    <row r="683" spans="1:20" ht="12.75" customHeight="1" x14ac:dyDescent="0.3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1"/>
      <c r="N683" s="451"/>
      <c r="O683" s="452"/>
      <c r="P683" s="452"/>
      <c r="Q683" s="452"/>
      <c r="R683" s="452"/>
      <c r="S683" s="452"/>
      <c r="T683" s="158"/>
    </row>
    <row r="684" spans="1:20" ht="12.75" customHeight="1" x14ac:dyDescent="0.3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1"/>
      <c r="N684" s="451"/>
      <c r="O684" s="452"/>
      <c r="P684" s="452"/>
      <c r="Q684" s="452"/>
      <c r="R684" s="452"/>
      <c r="S684" s="452"/>
      <c r="T684" s="158"/>
    </row>
    <row r="685" spans="1:20" ht="12.75" customHeight="1" x14ac:dyDescent="0.3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1"/>
      <c r="N685" s="451"/>
      <c r="O685" s="452"/>
      <c r="P685" s="452"/>
      <c r="Q685" s="452"/>
      <c r="R685" s="452"/>
      <c r="S685" s="452"/>
      <c r="T685" s="158"/>
    </row>
    <row r="686" spans="1:20" ht="12.75" customHeight="1" x14ac:dyDescent="0.3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1"/>
      <c r="N686" s="451"/>
      <c r="O686" s="452"/>
      <c r="P686" s="452"/>
      <c r="Q686" s="452"/>
      <c r="R686" s="452"/>
      <c r="S686" s="452"/>
      <c r="T686" s="158"/>
    </row>
    <row r="687" spans="1:20" ht="12.75" customHeight="1" x14ac:dyDescent="0.3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1"/>
      <c r="N687" s="451"/>
      <c r="O687" s="452"/>
      <c r="P687" s="452"/>
      <c r="Q687" s="452"/>
      <c r="R687" s="452"/>
      <c r="S687" s="452"/>
      <c r="T687" s="158"/>
    </row>
    <row r="688" spans="1:20" ht="12.75" customHeight="1" x14ac:dyDescent="0.3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1"/>
      <c r="N688" s="451"/>
      <c r="O688" s="452"/>
      <c r="P688" s="452"/>
      <c r="Q688" s="452"/>
      <c r="R688" s="452"/>
      <c r="S688" s="452"/>
      <c r="T688" s="158"/>
    </row>
    <row r="689" spans="1:20" ht="12.75" customHeight="1" x14ac:dyDescent="0.3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1"/>
      <c r="N689" s="451"/>
      <c r="O689" s="452"/>
      <c r="P689" s="452"/>
      <c r="Q689" s="452"/>
      <c r="R689" s="452"/>
      <c r="S689" s="452"/>
      <c r="T689" s="158"/>
    </row>
    <row r="690" spans="1:20" ht="12.75" customHeight="1" x14ac:dyDescent="0.3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/>
      <c r="M690" s="451"/>
      <c r="N690" s="451">
        <f>AEROSOLdeprate.M*FRaers.aM</f>
        <v>4.2609589573335867E-4</v>
      </c>
      <c r="O690" s="452">
        <f>AEROSOLdeprate.M*FRaers.aM</f>
        <v>4.2609589573335867E-4</v>
      </c>
      <c r="P690" s="452">
        <f>AEROSOLdeprate.M*FRaers.aM</f>
        <v>4.2609589573335867E-4</v>
      </c>
      <c r="Q690" s="452">
        <f>AEROSOLdeprate.M*FRaers.aM</f>
        <v>4.2609589573335867E-4</v>
      </c>
      <c r="R690" s="452">
        <f>AEROSOLdeprate.M*FRaers.aM</f>
        <v>4.2609589573335867E-4</v>
      </c>
      <c r="S690" s="452"/>
      <c r="T690" s="158"/>
    </row>
    <row r="691" spans="1:20" ht="12.75" customHeight="1" x14ac:dyDescent="0.3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/>
      <c r="M691" s="451"/>
      <c r="N691" s="451">
        <f t="shared" ref="N691:R691" si="17">(1-FRgas.aM)*COLLECTeff.M*RAINrate.M</f>
        <v>4.4393708772405205E-3</v>
      </c>
      <c r="O691" s="452">
        <f t="shared" si="17"/>
        <v>4.4393708772405205E-3</v>
      </c>
      <c r="P691" s="452">
        <f t="shared" si="17"/>
        <v>4.4393708772405205E-3</v>
      </c>
      <c r="Q691" s="452">
        <f t="shared" si="17"/>
        <v>4.4393708772405205E-3</v>
      </c>
      <c r="R691" s="452">
        <f t="shared" si="17"/>
        <v>4.4393708772405205E-3</v>
      </c>
      <c r="S691" s="452"/>
      <c r="T691" s="158"/>
    </row>
    <row r="692" spans="1:20" ht="12.75" customHeight="1" x14ac:dyDescent="0.3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/>
      <c r="M692" s="451"/>
      <c r="N692" s="451">
        <f t="shared" ref="N692:R692" si="18">FRgas.aM*RAINrate.M/Kaw.M</f>
        <v>636.94356473840719</v>
      </c>
      <c r="O692" s="452">
        <f t="shared" si="18"/>
        <v>636.94356473840719</v>
      </c>
      <c r="P692" s="452">
        <f t="shared" si="18"/>
        <v>636.94356473840719</v>
      </c>
      <c r="Q692" s="452">
        <f t="shared" si="18"/>
        <v>636.94356473840719</v>
      </c>
      <c r="R692" s="452">
        <f t="shared" si="18"/>
        <v>636.94356473840719</v>
      </c>
      <c r="S692" s="452"/>
      <c r="T692" s="158"/>
    </row>
    <row r="693" spans="1:20" ht="12.75" customHeight="1" x14ac:dyDescent="0.3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1"/>
      <c r="N693" s="451"/>
      <c r="O693" s="452"/>
      <c r="P693" s="452"/>
      <c r="Q693" s="452"/>
      <c r="R693" s="452"/>
      <c r="S693" s="452"/>
      <c r="T693" s="158"/>
    </row>
    <row r="694" spans="1:20" ht="12.75" customHeight="1" x14ac:dyDescent="0.3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1"/>
      <c r="N694" s="451"/>
      <c r="O694" s="452"/>
      <c r="P694" s="452"/>
      <c r="Q694" s="452"/>
      <c r="R694" s="452"/>
      <c r="S694" s="452"/>
      <c r="T694" s="158"/>
    </row>
    <row r="695" spans="1:20" ht="12.75" customHeight="1" x14ac:dyDescent="0.3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1"/>
      <c r="N695" s="451"/>
      <c r="O695" s="452"/>
      <c r="P695" s="452"/>
      <c r="Q695" s="452"/>
      <c r="R695" s="452"/>
      <c r="S695" s="452"/>
      <c r="T695" s="158"/>
    </row>
    <row r="696" spans="1:20" ht="12.75" customHeight="1" x14ac:dyDescent="0.3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1"/>
      <c r="N696" s="451"/>
      <c r="O696" s="452"/>
      <c r="P696" s="452"/>
      <c r="Q696" s="452"/>
      <c r="R696" s="452"/>
      <c r="S696" s="452"/>
      <c r="T696" s="158"/>
    </row>
    <row r="697" spans="1:20" ht="12.75" customHeight="1" x14ac:dyDescent="0.3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1"/>
      <c r="N697" s="451"/>
      <c r="O697" s="452"/>
      <c r="P697" s="452"/>
      <c r="Q697" s="452"/>
      <c r="R697" s="452"/>
      <c r="S697" s="452"/>
      <c r="T697" s="158"/>
    </row>
    <row r="698" spans="1:20" ht="12.75" customHeight="1" x14ac:dyDescent="0.3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1"/>
      <c r="N698" s="451"/>
      <c r="O698" s="452"/>
      <c r="P698" s="452"/>
      <c r="Q698" s="452"/>
      <c r="R698" s="452"/>
      <c r="S698" s="452"/>
      <c r="T698" s="158"/>
    </row>
    <row r="699" spans="1:20" ht="12.75" customHeight="1" x14ac:dyDescent="0.3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1"/>
      <c r="N699" s="451"/>
      <c r="O699" s="452"/>
      <c r="P699" s="452"/>
      <c r="Q699" s="452"/>
      <c r="R699" s="452"/>
      <c r="S699" s="452"/>
      <c r="T699" s="158"/>
    </row>
    <row r="700" spans="1:20" ht="12.75" customHeight="1" x14ac:dyDescent="0.3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1"/>
      <c r="N700" s="451"/>
      <c r="O700" s="452"/>
      <c r="P700" s="452"/>
      <c r="Q700" s="452"/>
      <c r="R700" s="452"/>
      <c r="S700" s="452"/>
      <c r="T700" s="158"/>
    </row>
    <row r="701" spans="1:20" ht="12.75" customHeight="1" x14ac:dyDescent="0.3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1"/>
      <c r="N701" s="451"/>
      <c r="O701" s="452"/>
      <c r="P701" s="452"/>
      <c r="Q701" s="452"/>
      <c r="R701" s="452"/>
      <c r="S701" s="452"/>
      <c r="T701" s="158"/>
    </row>
    <row r="702" spans="1:20" ht="12.75" customHeight="1" x14ac:dyDescent="0.3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1"/>
      <c r="N702" s="451"/>
      <c r="O702" s="452"/>
      <c r="P702" s="452"/>
      <c r="Q702" s="452"/>
      <c r="R702" s="452"/>
      <c r="S702" s="452"/>
      <c r="T702" s="158"/>
    </row>
    <row r="703" spans="1:20" ht="12.75" customHeight="1" x14ac:dyDescent="0.3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1"/>
      <c r="N703" s="451"/>
      <c r="O703" s="452"/>
      <c r="P703" s="452"/>
      <c r="Q703" s="452"/>
      <c r="R703" s="452"/>
      <c r="S703" s="452"/>
      <c r="T703" s="158"/>
    </row>
    <row r="704" spans="1:20" ht="12.75" customHeight="1" x14ac:dyDescent="0.3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/>
      <c r="M704" s="451"/>
      <c r="N704" s="451">
        <v>1.1468924229780271E-8</v>
      </c>
      <c r="O704" s="452">
        <v>1.1468924229780271E-8</v>
      </c>
      <c r="P704" s="452">
        <v>1.1468924229780271E-8</v>
      </c>
      <c r="Q704" s="452">
        <v>1.1468924229780271E-8</v>
      </c>
      <c r="R704" s="452"/>
      <c r="S704" s="452">
        <v>1.1468924229780271E-8</v>
      </c>
      <c r="T704" s="158"/>
    </row>
    <row r="705" spans="1:20" ht="12.75" customHeight="1" x14ac:dyDescent="0.3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/>
      <c r="M705" s="451"/>
      <c r="N705" s="451">
        <v>1</v>
      </c>
      <c r="O705" s="452">
        <v>1</v>
      </c>
      <c r="P705" s="452">
        <v>1</v>
      </c>
      <c r="Q705" s="452">
        <v>1</v>
      </c>
      <c r="R705" s="452"/>
      <c r="S705" s="452">
        <v>1</v>
      </c>
      <c r="T705" s="158"/>
    </row>
    <row r="706" spans="1:20" ht="12.75" customHeight="1" x14ac:dyDescent="0.3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59"/>
      <c r="N706" s="459"/>
      <c r="O706" s="460"/>
      <c r="P706" s="460"/>
      <c r="Q706" s="460"/>
      <c r="R706" s="460"/>
      <c r="S706" s="460"/>
      <c r="T706" s="158"/>
    </row>
    <row r="707" spans="1:20" ht="12.75" customHeight="1" x14ac:dyDescent="0.3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1"/>
      <c r="N707" s="451"/>
      <c r="O707" s="452"/>
      <c r="P707" s="452"/>
      <c r="Q707" s="452"/>
      <c r="R707" s="452"/>
      <c r="S707" s="452"/>
      <c r="T707" s="158"/>
    </row>
    <row r="708" spans="1:20" ht="12.75" customHeight="1" x14ac:dyDescent="0.3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1"/>
      <c r="N708" s="451"/>
      <c r="O708" s="452"/>
      <c r="P708" s="452"/>
      <c r="Q708" s="452"/>
      <c r="R708" s="452"/>
      <c r="S708" s="452"/>
      <c r="T708" s="158"/>
    </row>
    <row r="709" spans="1:20" ht="12.75" customHeight="1" x14ac:dyDescent="0.3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1"/>
      <c r="N709" s="451"/>
      <c r="O709" s="452"/>
      <c r="P709" s="452"/>
      <c r="Q709" s="452"/>
      <c r="R709" s="452"/>
      <c r="S709" s="452"/>
      <c r="T709" s="158"/>
    </row>
    <row r="710" spans="1:20" ht="12.75" customHeight="1" x14ac:dyDescent="0.3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1"/>
      <c r="N710" s="451"/>
      <c r="O710" s="452"/>
      <c r="P710" s="452"/>
      <c r="Q710" s="452"/>
      <c r="R710" s="452"/>
      <c r="S710" s="452"/>
      <c r="T710" s="158"/>
    </row>
    <row r="711" spans="1:20" ht="12.75" customHeight="1" x14ac:dyDescent="0.3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1"/>
      <c r="N711" s="451"/>
      <c r="O711" s="452"/>
      <c r="P711" s="452"/>
      <c r="Q711" s="452"/>
      <c r="R711" s="452"/>
      <c r="S711" s="452"/>
      <c r="T711" s="158"/>
    </row>
    <row r="712" spans="1:20" ht="12.75" customHeight="1" x14ac:dyDescent="0.3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1"/>
      <c r="N712" s="451"/>
      <c r="O712" s="452"/>
      <c r="P712" s="452"/>
      <c r="Q712" s="452"/>
      <c r="R712" s="452"/>
      <c r="S712" s="452"/>
      <c r="T712" s="158"/>
    </row>
    <row r="713" spans="1:20" ht="12.75" customHeight="1" x14ac:dyDescent="0.3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1"/>
      <c r="N713" s="451"/>
      <c r="O713" s="452"/>
      <c r="P713" s="452"/>
      <c r="Q713" s="452"/>
      <c r="R713" s="452"/>
      <c r="S713" s="452"/>
      <c r="T713" s="158"/>
    </row>
    <row r="714" spans="1:20" ht="12.75" customHeight="1" x14ac:dyDescent="0.3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1"/>
      <c r="N714" s="451"/>
      <c r="O714" s="452"/>
      <c r="P714" s="452"/>
      <c r="Q714" s="452"/>
      <c r="R714" s="452"/>
      <c r="S714" s="452"/>
      <c r="T714" s="158"/>
    </row>
    <row r="715" spans="1:20" ht="12.75" customHeight="1" x14ac:dyDescent="0.3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1"/>
      <c r="N715" s="451"/>
      <c r="O715" s="452"/>
      <c r="P715" s="452"/>
      <c r="Q715" s="452"/>
      <c r="R715" s="452"/>
      <c r="S715" s="452"/>
      <c r="T715" s="158"/>
    </row>
    <row r="716" spans="1:20" ht="12.75" customHeight="1" x14ac:dyDescent="0.3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1"/>
      <c r="N716" s="451"/>
      <c r="O716" s="452"/>
      <c r="P716" s="452"/>
      <c r="Q716" s="452"/>
      <c r="R716" s="452"/>
      <c r="S716" s="452"/>
      <c r="T716" s="158"/>
    </row>
    <row r="717" spans="1:20" ht="12.75" customHeight="1" x14ac:dyDescent="0.3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1"/>
      <c r="N717" s="451"/>
      <c r="O717" s="452"/>
      <c r="P717" s="452"/>
      <c r="Q717" s="452"/>
      <c r="R717" s="452"/>
      <c r="S717" s="452"/>
      <c r="T717" s="158"/>
    </row>
    <row r="718" spans="1:20" ht="12.75" customHeight="1" x14ac:dyDescent="0.3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1"/>
      <c r="N718" s="451"/>
      <c r="O718" s="452"/>
      <c r="P718" s="452"/>
      <c r="Q718" s="452"/>
      <c r="R718" s="452"/>
      <c r="S718" s="452"/>
      <c r="T718" s="158"/>
    </row>
    <row r="719" spans="1:20" ht="12.75" customHeight="1" x14ac:dyDescent="0.3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59"/>
      <c r="N719" s="459"/>
      <c r="O719" s="460"/>
      <c r="P719" s="460"/>
      <c r="Q719" s="460"/>
      <c r="R719" s="460"/>
      <c r="S719" s="460"/>
      <c r="T719" s="158"/>
    </row>
    <row r="720" spans="1:20" ht="12.75" customHeight="1" x14ac:dyDescent="0.3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1"/>
      <c r="N720" s="451"/>
      <c r="O720" s="452"/>
      <c r="P720" s="452"/>
      <c r="Q720" s="452"/>
      <c r="R720" s="452"/>
      <c r="S720" s="452"/>
      <c r="T720" s="158"/>
    </row>
    <row r="721" spans="1:20" ht="12.75" customHeight="1" x14ac:dyDescent="0.3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1"/>
      <c r="N721" s="451"/>
      <c r="O721" s="452"/>
      <c r="P721" s="452"/>
      <c r="Q721" s="452"/>
      <c r="R721" s="452"/>
      <c r="S721" s="452"/>
      <c r="T721" s="158"/>
    </row>
    <row r="722" spans="1:20" ht="12.75" customHeight="1" x14ac:dyDescent="0.3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1"/>
      <c r="N722" s="451"/>
      <c r="O722" s="452"/>
      <c r="P722" s="452"/>
      <c r="Q722" s="452"/>
      <c r="R722" s="452"/>
      <c r="S722" s="452"/>
      <c r="T722" s="158"/>
    </row>
    <row r="723" spans="1:20" ht="12.75" customHeight="1" x14ac:dyDescent="0.3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/>
      <c r="M723" s="451"/>
      <c r="N723" s="451">
        <v>1</v>
      </c>
      <c r="O723" s="452">
        <v>1</v>
      </c>
      <c r="P723" s="452">
        <v>1</v>
      </c>
      <c r="Q723" s="452">
        <v>1</v>
      </c>
      <c r="R723" s="452"/>
      <c r="S723" s="452">
        <v>1</v>
      </c>
      <c r="T723" s="158"/>
    </row>
    <row r="724" spans="1:20" ht="12.75" customHeight="1" x14ac:dyDescent="0.3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339"/>
      <c r="N724" s="339"/>
      <c r="O724" s="282"/>
      <c r="P724" s="282"/>
      <c r="Q724" s="282"/>
      <c r="R724" s="282"/>
      <c r="S724" s="282"/>
      <c r="T724" s="158"/>
    </row>
    <row r="725" spans="1:20" ht="12.75" customHeight="1" x14ac:dyDescent="0.3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 t="s">
        <v>754</v>
      </c>
      <c r="M725" s="364"/>
      <c r="N725" s="364"/>
      <c r="O725" s="470"/>
      <c r="P725" s="470"/>
      <c r="Q725" s="470"/>
      <c r="R725" s="470"/>
      <c r="S725" s="470"/>
      <c r="T725" s="158"/>
    </row>
    <row r="726" spans="1:20" ht="12.75" customHeight="1" x14ac:dyDescent="0.3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339"/>
      <c r="N726" s="339"/>
      <c r="O726" s="282"/>
      <c r="P726" s="282"/>
      <c r="Q726" s="282"/>
      <c r="R726" s="282"/>
      <c r="S726" s="282"/>
      <c r="T726" s="158"/>
    </row>
    <row r="727" spans="1:20" ht="12.75" customHeight="1" x14ac:dyDescent="0.3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1"/>
      <c r="N727" s="451"/>
      <c r="O727" s="452"/>
      <c r="P727" s="452"/>
      <c r="Q727" s="452"/>
      <c r="R727" s="452"/>
      <c r="S727" s="452"/>
      <c r="T727" s="158"/>
    </row>
    <row r="728" spans="1:20" ht="12.75" customHeight="1" x14ac:dyDescent="0.3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1"/>
      <c r="N728" s="451"/>
      <c r="O728" s="452"/>
      <c r="P728" s="452"/>
      <c r="Q728" s="452"/>
      <c r="R728" s="452"/>
      <c r="S728" s="452"/>
      <c r="T728" s="158"/>
    </row>
    <row r="729" spans="1:20" ht="12.75" customHeight="1" x14ac:dyDescent="0.3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1"/>
      <c r="N729" s="451"/>
      <c r="O729" s="452"/>
      <c r="P729" s="452"/>
      <c r="Q729" s="452"/>
      <c r="R729" s="452"/>
      <c r="S729" s="452"/>
      <c r="T729" s="158"/>
    </row>
    <row r="730" spans="1:20" ht="12.75" customHeight="1" x14ac:dyDescent="0.3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1"/>
      <c r="N730" s="451"/>
      <c r="O730" s="452"/>
      <c r="P730" s="452"/>
      <c r="Q730" s="452"/>
      <c r="R730" s="452"/>
      <c r="S730" s="452"/>
      <c r="T730" s="158"/>
    </row>
    <row r="731" spans="1:20" ht="12.75" customHeight="1" x14ac:dyDescent="0.3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1"/>
      <c r="N731" s="451"/>
      <c r="O731" s="452"/>
      <c r="P731" s="452"/>
      <c r="Q731" s="452"/>
      <c r="R731" s="452"/>
      <c r="S731" s="452"/>
      <c r="T731" s="158"/>
    </row>
    <row r="732" spans="1:20" ht="12.75" customHeight="1" x14ac:dyDescent="0.3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1"/>
      <c r="N732" s="451"/>
      <c r="O732" s="452"/>
      <c r="P732" s="452"/>
      <c r="Q732" s="452"/>
      <c r="R732" s="452"/>
      <c r="S732" s="452"/>
      <c r="T732" s="158"/>
    </row>
    <row r="733" spans="1:20" ht="12.75" customHeight="1" x14ac:dyDescent="0.3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1"/>
      <c r="N733" s="451"/>
      <c r="O733" s="452"/>
      <c r="P733" s="452"/>
      <c r="Q733" s="452"/>
      <c r="R733" s="452"/>
      <c r="S733" s="452"/>
      <c r="T733" s="158"/>
    </row>
    <row r="734" spans="1:20" ht="12.75" customHeight="1" x14ac:dyDescent="0.3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1"/>
      <c r="N734" s="451"/>
      <c r="O734" s="452"/>
      <c r="P734" s="452"/>
      <c r="Q734" s="452"/>
      <c r="R734" s="452"/>
      <c r="S734" s="452"/>
      <c r="T734" s="158"/>
    </row>
    <row r="735" spans="1:20" ht="12.75" customHeight="1" x14ac:dyDescent="0.3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1"/>
      <c r="N735" s="451"/>
      <c r="O735" s="452"/>
      <c r="P735" s="452"/>
      <c r="Q735" s="452"/>
      <c r="R735" s="452"/>
      <c r="S735" s="452"/>
      <c r="T735" s="158"/>
    </row>
    <row r="736" spans="1:20" ht="12.75" customHeight="1" x14ac:dyDescent="0.3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1"/>
      <c r="N736" s="451"/>
      <c r="O736" s="452"/>
      <c r="P736" s="452"/>
      <c r="Q736" s="452"/>
      <c r="R736" s="452"/>
      <c r="S736" s="452"/>
      <c r="T736" s="158"/>
    </row>
    <row r="737" spans="1:20" ht="12.75" customHeight="1" x14ac:dyDescent="0.3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1"/>
      <c r="N737" s="451"/>
      <c r="O737" s="452"/>
      <c r="P737" s="452"/>
      <c r="Q737" s="452"/>
      <c r="R737" s="452"/>
      <c r="S737" s="452"/>
      <c r="T737" s="158"/>
    </row>
    <row r="738" spans="1:20" ht="12.75" customHeight="1" x14ac:dyDescent="0.3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1"/>
      <c r="N738" s="451"/>
      <c r="O738" s="452"/>
      <c r="P738" s="452"/>
      <c r="Q738" s="452"/>
      <c r="R738" s="452"/>
      <c r="S738" s="452"/>
      <c r="T738" s="158"/>
    </row>
    <row r="739" spans="1:20" ht="12.75" customHeight="1" x14ac:dyDescent="0.3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1"/>
      <c r="N739" s="451"/>
      <c r="O739" s="452"/>
      <c r="P739" s="452"/>
      <c r="Q739" s="452"/>
      <c r="R739" s="452"/>
      <c r="S739" s="452"/>
      <c r="T739" s="158"/>
    </row>
    <row r="740" spans="1:20" ht="12.75" customHeight="1" x14ac:dyDescent="0.3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1"/>
      <c r="N740" s="451"/>
      <c r="O740" s="452"/>
      <c r="P740" s="452"/>
      <c r="Q740" s="452"/>
      <c r="R740" s="452"/>
      <c r="S740" s="452"/>
      <c r="T740" s="158"/>
    </row>
    <row r="741" spans="1:20" ht="12.75" customHeight="1" x14ac:dyDescent="0.3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1"/>
      <c r="N741" s="451"/>
      <c r="O741" s="452"/>
      <c r="P741" s="452"/>
      <c r="Q741" s="452"/>
      <c r="R741" s="452"/>
      <c r="S741" s="452"/>
      <c r="T741" s="158"/>
    </row>
    <row r="742" spans="1:20" ht="12.75" customHeight="1" x14ac:dyDescent="0.3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1"/>
      <c r="N742" s="451"/>
      <c r="O742" s="452"/>
      <c r="P742" s="452"/>
      <c r="Q742" s="452"/>
      <c r="R742" s="452"/>
      <c r="S742" s="452"/>
      <c r="T742" s="158"/>
    </row>
    <row r="743" spans="1:20" ht="12.75" customHeight="1" x14ac:dyDescent="0.3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1"/>
      <c r="N743" s="451"/>
      <c r="O743" s="452"/>
      <c r="P743" s="452"/>
      <c r="Q743" s="452"/>
      <c r="R743" s="452"/>
      <c r="S743" s="452"/>
      <c r="T743" s="158"/>
    </row>
    <row r="744" spans="1:20" ht="12.75" customHeight="1" x14ac:dyDescent="0.3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/>
      <c r="M744" s="451"/>
      <c r="N744" s="451">
        <v>1</v>
      </c>
      <c r="O744" s="452">
        <v>1</v>
      </c>
      <c r="P744" s="452">
        <v>1</v>
      </c>
      <c r="Q744" s="452">
        <v>1</v>
      </c>
      <c r="R744" s="452"/>
      <c r="S744" s="452">
        <v>1</v>
      </c>
      <c r="T744" s="158"/>
    </row>
    <row r="745" spans="1:20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356"/>
      <c r="N745" s="356"/>
      <c r="O745" s="471"/>
      <c r="P745" s="471"/>
      <c r="Q745" s="471"/>
      <c r="R745" s="471"/>
      <c r="S745" s="471"/>
      <c r="T745" s="158"/>
    </row>
    <row r="746" spans="1:20" ht="12.75" customHeight="1" x14ac:dyDescent="0.3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339"/>
      <c r="N746" s="339"/>
      <c r="O746" s="282"/>
      <c r="P746" s="282"/>
      <c r="Q746" s="282"/>
      <c r="R746" s="282"/>
      <c r="S746" s="282"/>
      <c r="T746" s="158"/>
    </row>
    <row r="747" spans="1:20" ht="12.75" customHeight="1" x14ac:dyDescent="0.3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339"/>
      <c r="N747" s="339"/>
      <c r="O747" s="282"/>
      <c r="P747" s="282"/>
      <c r="Q747" s="282"/>
      <c r="R747" s="282"/>
      <c r="S747" s="282"/>
      <c r="T747" s="158"/>
    </row>
    <row r="748" spans="1:20" ht="12.75" customHeight="1" x14ac:dyDescent="0.3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339"/>
      <c r="N748" s="339"/>
      <c r="O748" s="282"/>
      <c r="P748" s="282"/>
      <c r="Q748" s="282"/>
      <c r="R748" s="282"/>
      <c r="S748" s="282"/>
      <c r="T748" s="158"/>
    </row>
    <row r="749" spans="1:20" ht="12.75" customHeight="1" x14ac:dyDescent="0.3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339"/>
      <c r="N749" s="339"/>
      <c r="O749" s="282"/>
      <c r="P749" s="282"/>
      <c r="Q749" s="282"/>
      <c r="R749" s="282"/>
      <c r="S749" s="282"/>
      <c r="T749" s="158"/>
    </row>
    <row r="750" spans="1:20" ht="12.75" customHeight="1" x14ac:dyDescent="0.3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 t="s">
        <v>754</v>
      </c>
      <c r="M750" s="364"/>
      <c r="N750" s="364"/>
      <c r="O750" s="470"/>
      <c r="P750" s="470"/>
      <c r="Q750" s="470"/>
      <c r="R750" s="470"/>
      <c r="S750" s="470"/>
      <c r="T750" s="158"/>
    </row>
    <row r="751" spans="1:20" ht="12.75" customHeight="1" x14ac:dyDescent="0.3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05"/>
      <c r="N751" s="405"/>
      <c r="O751" s="473"/>
      <c r="P751" s="473"/>
      <c r="Q751" s="473"/>
      <c r="R751" s="473"/>
      <c r="S751" s="473"/>
      <c r="T751" s="158"/>
    </row>
    <row r="752" spans="1:20" ht="12.75" customHeight="1" x14ac:dyDescent="0.3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1"/>
      <c r="N752" s="451"/>
      <c r="O752" s="452"/>
      <c r="P752" s="452"/>
      <c r="Q752" s="452"/>
      <c r="R752" s="452"/>
      <c r="S752" s="452"/>
      <c r="T752" s="158"/>
    </row>
    <row r="753" spans="1:20" ht="12.75" customHeight="1" x14ac:dyDescent="0.3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1"/>
      <c r="N753" s="451"/>
      <c r="O753" s="452"/>
      <c r="P753" s="452"/>
      <c r="Q753" s="452"/>
      <c r="R753" s="452"/>
      <c r="S753" s="452"/>
      <c r="T753" s="158"/>
    </row>
    <row r="754" spans="1:20" ht="12.75" customHeight="1" x14ac:dyDescent="0.3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1"/>
      <c r="N754" s="451"/>
      <c r="O754" s="452"/>
      <c r="P754" s="452"/>
      <c r="Q754" s="452"/>
      <c r="R754" s="452"/>
      <c r="S754" s="452"/>
      <c r="T754" s="158"/>
    </row>
    <row r="755" spans="1:20" ht="12.75" customHeight="1" x14ac:dyDescent="0.3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1"/>
      <c r="N755" s="451"/>
      <c r="O755" s="452"/>
      <c r="P755" s="452"/>
      <c r="Q755" s="452"/>
      <c r="R755" s="452"/>
      <c r="S755" s="452"/>
      <c r="T755" s="158"/>
    </row>
    <row r="756" spans="1:20" ht="12.75" customHeight="1" x14ac:dyDescent="0.3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1"/>
      <c r="N756" s="451"/>
      <c r="O756" s="452"/>
      <c r="P756" s="452"/>
      <c r="Q756" s="452"/>
      <c r="R756" s="452"/>
      <c r="S756" s="452"/>
      <c r="T756" s="158"/>
    </row>
    <row r="757" spans="1:20" ht="12.75" customHeight="1" x14ac:dyDescent="0.3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1"/>
      <c r="N757" s="451"/>
      <c r="O757" s="452"/>
      <c r="P757" s="452"/>
      <c r="Q757" s="452"/>
      <c r="R757" s="452"/>
      <c r="S757" s="452"/>
      <c r="T757" s="158"/>
    </row>
    <row r="758" spans="1:20" ht="12.75" customHeight="1" x14ac:dyDescent="0.3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1"/>
      <c r="N758" s="451"/>
      <c r="O758" s="452"/>
      <c r="P758" s="452"/>
      <c r="Q758" s="452"/>
      <c r="R758" s="452"/>
      <c r="S758" s="452"/>
      <c r="T758" s="158"/>
    </row>
    <row r="759" spans="1:20" ht="12.75" customHeight="1" x14ac:dyDescent="0.3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1"/>
      <c r="N759" s="451"/>
      <c r="O759" s="452"/>
      <c r="P759" s="452"/>
      <c r="Q759" s="452"/>
      <c r="R759" s="452"/>
      <c r="S759" s="452"/>
      <c r="T759" s="158"/>
    </row>
    <row r="760" spans="1:20" ht="12.75" customHeight="1" x14ac:dyDescent="0.3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1"/>
      <c r="N760" s="451"/>
      <c r="O760" s="452"/>
      <c r="P760" s="452"/>
      <c r="Q760" s="452"/>
      <c r="R760" s="452"/>
      <c r="S760" s="452"/>
      <c r="T760" s="158"/>
    </row>
    <row r="761" spans="1:20" ht="12.75" customHeight="1" x14ac:dyDescent="0.3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/>
      <c r="M761" s="451"/>
      <c r="N761" s="451">
        <v>990</v>
      </c>
      <c r="O761" s="452">
        <v>990</v>
      </c>
      <c r="P761" s="452"/>
      <c r="Q761" s="452">
        <v>990</v>
      </c>
      <c r="R761" s="452">
        <v>990</v>
      </c>
      <c r="S761" s="452">
        <v>990</v>
      </c>
      <c r="T761" s="158"/>
    </row>
    <row r="762" spans="1:20" ht="12.75" customHeight="1" x14ac:dyDescent="0.3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/>
      <c r="M762" s="451"/>
      <c r="N762" s="451">
        <v>10</v>
      </c>
      <c r="O762" s="452">
        <v>10</v>
      </c>
      <c r="P762" s="452"/>
      <c r="Q762" s="452">
        <v>10</v>
      </c>
      <c r="R762" s="452">
        <v>10</v>
      </c>
      <c r="S762" s="452">
        <v>10</v>
      </c>
      <c r="T762" s="158"/>
    </row>
    <row r="763" spans="1:20" ht="12.75" customHeight="1" x14ac:dyDescent="0.3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1"/>
      <c r="N763" s="451"/>
      <c r="O763" s="452"/>
      <c r="P763" s="452"/>
      <c r="Q763" s="452"/>
      <c r="R763" s="452"/>
      <c r="S763" s="452"/>
      <c r="T763" s="158"/>
    </row>
    <row r="764" spans="1:20" ht="12.75" customHeight="1" x14ac:dyDescent="0.3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1"/>
      <c r="N764" s="451"/>
      <c r="O764" s="452"/>
      <c r="P764" s="452"/>
      <c r="Q764" s="452"/>
      <c r="R764" s="452"/>
      <c r="S764" s="452"/>
      <c r="T764" s="158"/>
    </row>
    <row r="765" spans="1:20" ht="12.75" customHeight="1" x14ac:dyDescent="0.3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/>
      <c r="M765" s="451"/>
      <c r="N765" s="451">
        <v>4.9999999999999995E-11</v>
      </c>
      <c r="O765" s="452">
        <v>4.9999999999999995E-11</v>
      </c>
      <c r="P765" s="452">
        <v>4.9999999999999995E-11</v>
      </c>
      <c r="Q765" s="452">
        <v>4.9999999999999995E-11</v>
      </c>
      <c r="R765" s="452">
        <v>4.9999999999999995E-11</v>
      </c>
      <c r="S765" s="452"/>
      <c r="T765" s="158"/>
    </row>
    <row r="766" spans="1:20" ht="12.75" customHeight="1" x14ac:dyDescent="0.3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/>
      <c r="M766" s="451"/>
      <c r="N766" s="451">
        <v>9.9999999999999995E-21</v>
      </c>
      <c r="O766" s="452">
        <v>9.9999999999999995E-21</v>
      </c>
      <c r="P766" s="452">
        <v>9.9999999999999995E-21</v>
      </c>
      <c r="Q766" s="452">
        <v>9.9999999999999995E-21</v>
      </c>
      <c r="R766" s="452">
        <v>9.9999999999999995E-21</v>
      </c>
      <c r="S766" s="452"/>
      <c r="T766" s="158"/>
    </row>
    <row r="767" spans="1:20" ht="12.75" customHeight="1" x14ac:dyDescent="0.3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1"/>
      <c r="N767" s="451"/>
      <c r="O767" s="452"/>
      <c r="P767" s="452"/>
      <c r="Q767" s="452"/>
      <c r="R767" s="452"/>
      <c r="S767" s="452"/>
      <c r="T767" s="158"/>
    </row>
    <row r="768" spans="1:20" ht="12.75" customHeight="1" x14ac:dyDescent="0.3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1"/>
      <c r="N768" s="451"/>
      <c r="O768" s="452"/>
      <c r="P768" s="452"/>
      <c r="Q768" s="452"/>
      <c r="R768" s="452"/>
      <c r="S768" s="452"/>
      <c r="T768" s="158"/>
    </row>
    <row r="769" spans="1:20" ht="12.75" customHeight="1" x14ac:dyDescent="0.3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1"/>
      <c r="N769" s="451"/>
      <c r="O769" s="452"/>
      <c r="P769" s="452"/>
      <c r="Q769" s="452"/>
      <c r="R769" s="452"/>
      <c r="S769" s="452"/>
      <c r="T769" s="158"/>
    </row>
    <row r="770" spans="1:20" ht="12.75" customHeight="1" x14ac:dyDescent="0.3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1"/>
      <c r="N770" s="451"/>
      <c r="O770" s="452"/>
      <c r="P770" s="452"/>
      <c r="Q770" s="452"/>
      <c r="R770" s="452"/>
      <c r="S770" s="452"/>
      <c r="T770" s="158"/>
    </row>
    <row r="771" spans="1:20" ht="12.75" customHeight="1" x14ac:dyDescent="0.3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1"/>
      <c r="N771" s="451"/>
      <c r="O771" s="452"/>
      <c r="P771" s="452"/>
      <c r="Q771" s="452"/>
      <c r="R771" s="452"/>
      <c r="S771" s="452"/>
      <c r="T771" s="158"/>
    </row>
    <row r="772" spans="1:20" ht="12.75" customHeight="1" x14ac:dyDescent="0.3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59"/>
      <c r="N772" s="459"/>
      <c r="O772" s="460"/>
      <c r="P772" s="460"/>
      <c r="Q772" s="460"/>
      <c r="R772" s="460"/>
      <c r="S772" s="460"/>
      <c r="T772" s="158"/>
    </row>
    <row r="773" spans="1:20" ht="12.75" customHeight="1" x14ac:dyDescent="0.3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1"/>
      <c r="N773" s="451"/>
      <c r="O773" s="452"/>
      <c r="P773" s="452"/>
      <c r="Q773" s="452"/>
      <c r="R773" s="452"/>
      <c r="S773" s="452"/>
      <c r="T773" s="158"/>
    </row>
    <row r="774" spans="1:20" ht="12.75" customHeight="1" x14ac:dyDescent="0.3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1"/>
      <c r="N774" s="451"/>
      <c r="O774" s="452"/>
      <c r="P774" s="452"/>
      <c r="Q774" s="452"/>
      <c r="R774" s="452"/>
      <c r="S774" s="452"/>
      <c r="T774" s="158"/>
    </row>
    <row r="775" spans="1:20" ht="12.75" customHeight="1" x14ac:dyDescent="0.3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59"/>
      <c r="N775" s="459"/>
      <c r="O775" s="460"/>
      <c r="P775" s="460"/>
      <c r="Q775" s="460"/>
      <c r="R775" s="460"/>
      <c r="S775" s="460"/>
      <c r="T775" s="158"/>
    </row>
    <row r="776" spans="1:20" ht="12.75" customHeight="1" x14ac:dyDescent="0.3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1"/>
      <c r="N776" s="451"/>
      <c r="O776" s="452"/>
      <c r="P776" s="452"/>
      <c r="Q776" s="452"/>
      <c r="R776" s="452"/>
      <c r="S776" s="452"/>
      <c r="T776" s="158"/>
    </row>
    <row r="777" spans="1:20" ht="12.75" customHeight="1" x14ac:dyDescent="0.3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/>
      <c r="M777" s="451"/>
      <c r="N777" s="451">
        <v>9.9999999999999995E-21</v>
      </c>
      <c r="O777" s="452">
        <v>9.9999999999999995E-21</v>
      </c>
      <c r="P777" s="452"/>
      <c r="Q777" s="452">
        <v>9.9999999999999995E-21</v>
      </c>
      <c r="R777" s="452">
        <v>9.9999999999999995E-21</v>
      </c>
      <c r="S777" s="452">
        <v>9.9999999999999995E-21</v>
      </c>
      <c r="T777" s="158"/>
    </row>
    <row r="778" spans="1:20" ht="12.75" customHeight="1" x14ac:dyDescent="0.3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/>
      <c r="M778" s="451"/>
      <c r="N778" s="451">
        <v>50497524.691810384</v>
      </c>
      <c r="O778" s="452">
        <v>50497524.691810384</v>
      </c>
      <c r="P778" s="452"/>
      <c r="Q778" s="452">
        <v>50497524.691810384</v>
      </c>
      <c r="R778" s="452">
        <v>50497524.691810384</v>
      </c>
      <c r="S778" s="452">
        <v>50497524.691810384</v>
      </c>
      <c r="T778" s="158"/>
    </row>
    <row r="779" spans="1:20" ht="12.75" customHeight="1" x14ac:dyDescent="0.3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1"/>
      <c r="N779" s="451"/>
      <c r="O779" s="452"/>
      <c r="P779" s="452"/>
      <c r="Q779" s="452"/>
      <c r="R779" s="452"/>
      <c r="S779" s="452"/>
      <c r="T779" s="158"/>
    </row>
    <row r="780" spans="1:20" ht="12.75" customHeight="1" x14ac:dyDescent="0.3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1"/>
      <c r="N780" s="451"/>
      <c r="O780" s="452"/>
      <c r="P780" s="452"/>
      <c r="Q780" s="452"/>
      <c r="R780" s="452"/>
      <c r="S780" s="452"/>
      <c r="T780" s="158"/>
    </row>
    <row r="781" spans="1:20" ht="12.75" customHeight="1" x14ac:dyDescent="0.3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1"/>
      <c r="N781" s="451"/>
      <c r="O781" s="452"/>
      <c r="P781" s="452"/>
      <c r="Q781" s="452"/>
      <c r="R781" s="452"/>
      <c r="S781" s="452"/>
      <c r="T781" s="158"/>
    </row>
    <row r="782" spans="1:20" ht="12.75" customHeight="1" x14ac:dyDescent="0.3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1"/>
      <c r="N782" s="451"/>
      <c r="O782" s="452"/>
      <c r="P782" s="452"/>
      <c r="Q782" s="452"/>
      <c r="R782" s="452"/>
      <c r="S782" s="452"/>
      <c r="T782" s="158"/>
    </row>
    <row r="783" spans="1:20" ht="12.75" customHeight="1" x14ac:dyDescent="0.3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339"/>
      <c r="N783" s="339"/>
      <c r="O783" s="282"/>
      <c r="P783" s="282"/>
      <c r="Q783" s="282"/>
      <c r="R783" s="282"/>
      <c r="S783" s="282"/>
      <c r="T783" s="158"/>
    </row>
    <row r="784" spans="1:20" ht="12.75" customHeight="1" x14ac:dyDescent="0.3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 t="s">
        <v>754</v>
      </c>
      <c r="M784" s="364"/>
      <c r="N784" s="364"/>
      <c r="O784" s="470"/>
      <c r="P784" s="470"/>
      <c r="Q784" s="470"/>
      <c r="R784" s="470"/>
      <c r="S784" s="470"/>
      <c r="T784" s="158"/>
    </row>
    <row r="785" spans="1:20" ht="12.75" customHeight="1" x14ac:dyDescent="0.3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339"/>
      <c r="N785" s="339"/>
      <c r="O785" s="282"/>
      <c r="P785" s="282"/>
      <c r="Q785" s="282"/>
      <c r="R785" s="282"/>
      <c r="S785" s="282"/>
      <c r="T785" s="158"/>
    </row>
    <row r="786" spans="1:20" ht="12.75" customHeight="1" x14ac:dyDescent="0.3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/>
      <c r="M786" s="451"/>
      <c r="N786" s="451">
        <f t="shared" ref="N786:R786" si="19">1-(0.0000258)/(IF(Tm&gt;298,EXP(-6.79*(1-Tm/298))*Pvap25*EXP((H0vap/8.314)*(1/298-1/TEMP.A)),Pvap25*EXP((H0vap/8.314)*(1/298-1/TEMP.A)))+(0.0000258))</f>
        <v>0.9997916145254897</v>
      </c>
      <c r="O786" s="452">
        <f t="shared" si="19"/>
        <v>0.9997916145254897</v>
      </c>
      <c r="P786" s="452">
        <f t="shared" si="19"/>
        <v>0.9997916145254897</v>
      </c>
      <c r="Q786" s="452">
        <f t="shared" si="19"/>
        <v>0.9997916145254897</v>
      </c>
      <c r="R786" s="452">
        <f t="shared" si="19"/>
        <v>0.9997916145254897</v>
      </c>
      <c r="S786" s="452"/>
      <c r="T786" s="158"/>
    </row>
    <row r="787" spans="1:20" ht="12.75" customHeight="1" x14ac:dyDescent="0.3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1"/>
      <c r="N787" s="451"/>
      <c r="O787" s="452"/>
      <c r="P787" s="452"/>
      <c r="Q787" s="452"/>
      <c r="R787" s="452"/>
      <c r="S787" s="452"/>
      <c r="T787" s="158"/>
    </row>
    <row r="788" spans="1:20" ht="12.75" customHeight="1" x14ac:dyDescent="0.3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/>
      <c r="M788" s="451"/>
      <c r="N788" s="451">
        <f t="shared" ref="N788:R788" si="20">(0.0000258)/(IF(Tm&gt;298,EXP(-6.79*(1-Tm/298))*Pvap25*EXP((H0vap/8.314)*(1/298-1/TEMP.A)),Pvap25*EXP((H0vap/8.314)*(1/298-1/TEMP.A)))+(0.0000258))</f>
        <v>2.0838547451026477E-4</v>
      </c>
      <c r="O788" s="452">
        <f t="shared" si="20"/>
        <v>2.0838547451026477E-4</v>
      </c>
      <c r="P788" s="452">
        <f t="shared" si="20"/>
        <v>2.0838547451026477E-4</v>
      </c>
      <c r="Q788" s="452">
        <f t="shared" si="20"/>
        <v>2.0838547451026477E-4</v>
      </c>
      <c r="R788" s="452">
        <f t="shared" si="20"/>
        <v>2.0838547451026477E-4</v>
      </c>
      <c r="S788" s="452"/>
      <c r="T788" s="158"/>
    </row>
    <row r="789" spans="1:20" ht="12.75" customHeight="1" x14ac:dyDescent="0.3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1"/>
      <c r="N789" s="451"/>
      <c r="O789" s="452"/>
      <c r="P789" s="452"/>
      <c r="Q789" s="452"/>
      <c r="R789" s="452"/>
      <c r="S789" s="452"/>
      <c r="T789" s="158"/>
    </row>
    <row r="790" spans="1:20" ht="12.75" customHeight="1" x14ac:dyDescent="0.3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1"/>
      <c r="N790" s="451"/>
      <c r="O790" s="452"/>
      <c r="P790" s="452"/>
      <c r="Q790" s="452"/>
      <c r="R790" s="452"/>
      <c r="S790" s="452"/>
      <c r="T790" s="158"/>
    </row>
    <row r="791" spans="1:20" ht="12.75" customHeight="1" x14ac:dyDescent="0.3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1"/>
      <c r="N791" s="451"/>
      <c r="O791" s="452"/>
      <c r="P791" s="452"/>
      <c r="Q791" s="452"/>
      <c r="R791" s="452"/>
      <c r="S791" s="452"/>
      <c r="T791" s="158"/>
    </row>
    <row r="792" spans="1:20" ht="12.75" customHeight="1" x14ac:dyDescent="0.3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1"/>
      <c r="N792" s="451"/>
      <c r="O792" s="452"/>
      <c r="P792" s="452"/>
      <c r="Q792" s="452"/>
      <c r="R792" s="452"/>
      <c r="S792" s="452"/>
      <c r="T792" s="158"/>
    </row>
    <row r="793" spans="1:20" ht="12.75" customHeight="1" x14ac:dyDescent="0.3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/>
      <c r="M793" s="451"/>
      <c r="N793" s="451">
        <f t="shared" ref="N793:R793" si="21">1/(1+Kp.susp2A*SUSP.w2A/1000+0.05*Kow*0.001/1000)</f>
        <v>0.97560889946535656</v>
      </c>
      <c r="O793" s="452">
        <f t="shared" si="21"/>
        <v>0.97560889946535656</v>
      </c>
      <c r="P793" s="452">
        <f t="shared" si="21"/>
        <v>0.97560889946535656</v>
      </c>
      <c r="Q793" s="452">
        <f t="shared" si="21"/>
        <v>0.97560889946535656</v>
      </c>
      <c r="R793" s="452">
        <f t="shared" si="21"/>
        <v>0.97560889946535656</v>
      </c>
      <c r="S793" s="452"/>
      <c r="T793" s="158"/>
    </row>
    <row r="794" spans="1:20" ht="12.75" customHeight="1" x14ac:dyDescent="0.3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/>
      <c r="M794" s="451"/>
      <c r="N794" s="451">
        <f t="shared" ref="N794:R794" si="22">1/(1+Kp.susp3A*SUSP.w3A/1000+0.05*Kow*0.001/1000)</f>
        <v>0.97560889946535656</v>
      </c>
      <c r="O794" s="452">
        <f t="shared" si="22"/>
        <v>0.97560889946535656</v>
      </c>
      <c r="P794" s="452">
        <f t="shared" si="22"/>
        <v>0.97560889946535656</v>
      </c>
      <c r="Q794" s="452">
        <f t="shared" si="22"/>
        <v>0.97560889946535656</v>
      </c>
      <c r="R794" s="452">
        <f t="shared" si="22"/>
        <v>0.97560889946535656</v>
      </c>
      <c r="S794" s="452"/>
      <c r="T794" s="158"/>
    </row>
    <row r="795" spans="1:20" ht="12.75" customHeight="1" x14ac:dyDescent="0.3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1"/>
      <c r="N795" s="451"/>
      <c r="O795" s="452"/>
      <c r="P795" s="452"/>
      <c r="Q795" s="452"/>
      <c r="R795" s="452"/>
      <c r="S795" s="452"/>
      <c r="T795" s="158"/>
    </row>
    <row r="796" spans="1:20" ht="12.75" customHeight="1" x14ac:dyDescent="0.3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1"/>
      <c r="N796" s="451"/>
      <c r="O796" s="452"/>
      <c r="P796" s="452"/>
      <c r="Q796" s="452"/>
      <c r="R796" s="452"/>
      <c r="S796" s="452"/>
      <c r="T796" s="158"/>
    </row>
    <row r="797" spans="1:20" ht="12.75" customHeight="1" x14ac:dyDescent="0.3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1"/>
      <c r="N797" s="451"/>
      <c r="O797" s="452"/>
      <c r="P797" s="452"/>
      <c r="Q797" s="452"/>
      <c r="R797" s="452"/>
      <c r="S797" s="452"/>
      <c r="T797" s="158"/>
    </row>
    <row r="798" spans="1:20" ht="12.75" customHeight="1" x14ac:dyDescent="0.3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1"/>
      <c r="N798" s="451"/>
      <c r="O798" s="452"/>
      <c r="P798" s="452"/>
      <c r="Q798" s="452"/>
      <c r="R798" s="452"/>
      <c r="S798" s="452"/>
      <c r="T798" s="158"/>
    </row>
    <row r="799" spans="1:20" ht="12.75" customHeight="1" x14ac:dyDescent="0.3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1"/>
      <c r="N799" s="451"/>
      <c r="O799" s="452"/>
      <c r="P799" s="452"/>
      <c r="Q799" s="452"/>
      <c r="R799" s="452"/>
      <c r="S799" s="452"/>
      <c r="T799" s="158"/>
    </row>
    <row r="800" spans="1:20" ht="12.75" customHeight="1" x14ac:dyDescent="0.3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1"/>
      <c r="N800" s="451"/>
      <c r="O800" s="452"/>
      <c r="P800" s="452"/>
      <c r="Q800" s="452"/>
      <c r="R800" s="452"/>
      <c r="S800" s="452"/>
      <c r="T800" s="158"/>
    </row>
    <row r="801" spans="1:20" ht="12.75" customHeight="1" x14ac:dyDescent="0.3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1"/>
      <c r="N801" s="451"/>
      <c r="O801" s="452"/>
      <c r="P801" s="452"/>
      <c r="Q801" s="452"/>
      <c r="R801" s="452"/>
      <c r="S801" s="452"/>
      <c r="T801" s="158"/>
    </row>
    <row r="802" spans="1:20" ht="12.75" customHeight="1" x14ac:dyDescent="0.3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1"/>
      <c r="N802" s="451"/>
      <c r="O802" s="452"/>
      <c r="P802" s="452"/>
      <c r="Q802" s="452"/>
      <c r="R802" s="452"/>
      <c r="S802" s="452"/>
      <c r="T802" s="158"/>
    </row>
    <row r="803" spans="1:20" ht="12.75" customHeight="1" x14ac:dyDescent="0.3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1"/>
      <c r="N803" s="451"/>
      <c r="O803" s="452"/>
      <c r="P803" s="452"/>
      <c r="Q803" s="452"/>
      <c r="R803" s="452"/>
      <c r="S803" s="452"/>
      <c r="T803" s="158"/>
    </row>
    <row r="804" spans="1:20" ht="12.75" customHeight="1" x14ac:dyDescent="0.3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1"/>
      <c r="N804" s="451"/>
      <c r="O804" s="452"/>
      <c r="P804" s="452"/>
      <c r="Q804" s="452"/>
      <c r="R804" s="452"/>
      <c r="S804" s="452"/>
      <c r="T804" s="158"/>
    </row>
    <row r="805" spans="1:20" ht="12.75" customHeight="1" x14ac:dyDescent="0.3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1"/>
      <c r="N805" s="451"/>
      <c r="O805" s="452"/>
      <c r="P805" s="452"/>
      <c r="Q805" s="452"/>
      <c r="R805" s="452"/>
      <c r="S805" s="452"/>
      <c r="T805" s="158"/>
    </row>
    <row r="806" spans="1:20" ht="12.75" customHeight="1" x14ac:dyDescent="0.3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1"/>
      <c r="N806" s="451"/>
      <c r="O806" s="452"/>
      <c r="P806" s="452"/>
      <c r="Q806" s="452"/>
      <c r="R806" s="452"/>
      <c r="S806" s="452"/>
      <c r="T806" s="158"/>
    </row>
    <row r="807" spans="1:20" ht="12.75" customHeight="1" x14ac:dyDescent="0.3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1"/>
      <c r="N807" s="451"/>
      <c r="O807" s="452"/>
      <c r="P807" s="452"/>
      <c r="Q807" s="452"/>
      <c r="R807" s="452"/>
      <c r="S807" s="452"/>
      <c r="T807" s="158"/>
    </row>
    <row r="808" spans="1:20" ht="12.75" customHeight="1" x14ac:dyDescent="0.3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1"/>
      <c r="N808" s="451"/>
      <c r="O808" s="452"/>
      <c r="P808" s="452"/>
      <c r="Q808" s="452"/>
      <c r="R808" s="452"/>
      <c r="S808" s="452"/>
      <c r="T808" s="158"/>
    </row>
    <row r="809" spans="1:20" ht="12.75" customHeight="1" x14ac:dyDescent="0.3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1"/>
      <c r="N809" s="451"/>
      <c r="O809" s="452"/>
      <c r="P809" s="452"/>
      <c r="Q809" s="452"/>
      <c r="R809" s="452"/>
      <c r="S809" s="452"/>
      <c r="T809" s="158"/>
    </row>
    <row r="810" spans="1:20" ht="12.75" customHeight="1" x14ac:dyDescent="0.3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1"/>
      <c r="N810" s="451"/>
      <c r="O810" s="452"/>
      <c r="P810" s="452"/>
      <c r="Q810" s="452"/>
      <c r="R810" s="452"/>
      <c r="S810" s="452"/>
      <c r="T810" s="158"/>
    </row>
    <row r="811" spans="1:20" ht="12.75" customHeight="1" x14ac:dyDescent="0.3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1"/>
      <c r="N811" s="451"/>
      <c r="O811" s="452"/>
      <c r="P811" s="452"/>
      <c r="Q811" s="452"/>
      <c r="R811" s="452"/>
      <c r="S811" s="452"/>
      <c r="T811" s="158"/>
    </row>
    <row r="812" spans="1:20" ht="12.75" customHeight="1" x14ac:dyDescent="0.3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1"/>
      <c r="N812" s="451"/>
      <c r="O812" s="452"/>
      <c r="P812" s="452"/>
      <c r="Q812" s="452"/>
      <c r="R812" s="452"/>
      <c r="S812" s="452"/>
      <c r="T812" s="158"/>
    </row>
    <row r="813" spans="1:20" ht="12.75" customHeight="1" x14ac:dyDescent="0.3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339"/>
      <c r="N813" s="339"/>
      <c r="O813" s="282"/>
      <c r="P813" s="282"/>
      <c r="Q813" s="282"/>
      <c r="R813" s="282"/>
      <c r="S813" s="282"/>
      <c r="T813" s="158"/>
    </row>
    <row r="814" spans="1:20" ht="12.75" customHeight="1" x14ac:dyDescent="0.3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 t="s">
        <v>754</v>
      </c>
      <c r="M814" s="364"/>
      <c r="N814" s="364"/>
      <c r="O814" s="470"/>
      <c r="P814" s="470"/>
      <c r="Q814" s="470"/>
      <c r="R814" s="470"/>
      <c r="S814" s="470"/>
      <c r="T814" s="158"/>
    </row>
    <row r="815" spans="1:20" ht="12.75" customHeight="1" x14ac:dyDescent="0.3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339"/>
      <c r="N815" s="339"/>
      <c r="O815" s="282"/>
      <c r="P815" s="282"/>
      <c r="Q815" s="282"/>
      <c r="R815" s="282"/>
      <c r="S815" s="282"/>
      <c r="T815" s="158"/>
    </row>
    <row r="816" spans="1:20" ht="12.75" customHeight="1" x14ac:dyDescent="0.3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/>
      <c r="M816" s="451"/>
      <c r="N816" s="451">
        <f>((DRYDEPaerosol.A+AerosolWashout.A+GasWashout.A+GASABS.aA.wA)/HEIGHT.aC)*AREAFRAC.wA</f>
        <v>3.5497205089395751</v>
      </c>
      <c r="O816" s="451">
        <f>((DRYDEPaerosol.A+AerosolWashout.A+GasWashout.A+GASABS.aA.wA)/HEIGHT.aC)*AREAFRAC.wA</f>
        <v>3.5497205089395751</v>
      </c>
      <c r="P816" s="451">
        <f>((DRYDEPaerosol.A+AerosolWashout.A+GasWashout.A+GASABS.aA.wA)/HEIGHT.aC)*AREAFRAC.wA</f>
        <v>3.5497205089395751</v>
      </c>
      <c r="Q816" s="451">
        <f>((DRYDEPaerosol.A+AerosolWashout.A+GasWashout.A+GASABS.aA.wA)/HEIGHT.aC)*AREAFRAC.wA</f>
        <v>3.5497205089395751</v>
      </c>
      <c r="R816" s="451">
        <f>((DRYDEPaerosol.A+AerosolWashout.A+GasWashout.A+GASABS.aA.wA)/HEIGHT.aC)*AREAFRAC.wA</f>
        <v>3.5497205089395751</v>
      </c>
      <c r="S816" s="452"/>
      <c r="T816" s="158"/>
    </row>
    <row r="817" spans="1:20" ht="12.75" customHeight="1" x14ac:dyDescent="0.3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/>
      <c r="M817" s="451"/>
      <c r="N817" s="451">
        <f>((DRYDEPaerosol.A+AerosolWashout.A+GasWashout.A+GASABS.aA.sA)/HEIGHT.aC)*AREAFRAC.sA</f>
        <v>2.3664803392930502</v>
      </c>
      <c r="O817" s="451">
        <f>((DRYDEPaerosol.A+AerosolWashout.A+GasWashout.A+GASABS.aA.sA)/HEIGHT.aC)*AREAFRAC.sA</f>
        <v>2.3664803392930502</v>
      </c>
      <c r="P817" s="451">
        <f>((DRYDEPaerosol.A+AerosolWashout.A+GasWashout.A+GASABS.aA.sA)/HEIGHT.aC)*AREAFRAC.sA</f>
        <v>2.3664803392930502</v>
      </c>
      <c r="Q817" s="451">
        <f>((DRYDEPaerosol.A+AerosolWashout.A+GasWashout.A+GASABS.aA.sA)/HEIGHT.aC)*AREAFRAC.sA</f>
        <v>2.3664803392930502</v>
      </c>
      <c r="R817" s="451">
        <f>((DRYDEPaerosol.A+AerosolWashout.A+GasWashout.A+GASABS.aA.sA)/HEIGHT.aC)*AREAFRAC.sA</f>
        <v>2.3664803392930502</v>
      </c>
      <c r="S817" s="452"/>
      <c r="T817" s="158"/>
    </row>
    <row r="818" spans="1:20" ht="12.75" customHeight="1" x14ac:dyDescent="0.3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1"/>
      <c r="N818" s="451"/>
      <c r="O818" s="452"/>
      <c r="P818" s="452"/>
      <c r="Q818" s="452"/>
      <c r="R818" s="452"/>
      <c r="S818" s="452"/>
      <c r="T818" s="158"/>
    </row>
    <row r="819" spans="1:20" ht="12.75" customHeight="1" x14ac:dyDescent="0.3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1"/>
      <c r="N819" s="451"/>
      <c r="O819" s="452"/>
      <c r="P819" s="452"/>
      <c r="Q819" s="452"/>
      <c r="R819" s="452"/>
      <c r="S819" s="452"/>
      <c r="T819" s="158"/>
    </row>
    <row r="820" spans="1:20" ht="12.75" customHeight="1" x14ac:dyDescent="0.3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1"/>
      <c r="N820" s="451"/>
      <c r="O820" s="452"/>
      <c r="P820" s="452"/>
      <c r="Q820" s="452"/>
      <c r="R820" s="452"/>
      <c r="S820" s="452"/>
      <c r="T820" s="158"/>
    </row>
    <row r="821" spans="1:20" ht="12.75" customHeight="1" x14ac:dyDescent="0.3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1"/>
      <c r="N821" s="451"/>
      <c r="O821" s="452"/>
      <c r="P821" s="452"/>
      <c r="Q821" s="452"/>
      <c r="R821" s="452"/>
      <c r="S821" s="452"/>
      <c r="T821" s="158"/>
    </row>
    <row r="822" spans="1:20" ht="12.75" customHeight="1" x14ac:dyDescent="0.3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1"/>
      <c r="N822" s="451"/>
      <c r="O822" s="452"/>
      <c r="P822" s="452"/>
      <c r="Q822" s="452"/>
      <c r="R822" s="452"/>
      <c r="S822" s="452"/>
      <c r="T822" s="158"/>
    </row>
    <row r="823" spans="1:20" ht="12.75" customHeight="1" x14ac:dyDescent="0.3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1"/>
      <c r="N823" s="451"/>
      <c r="O823" s="452"/>
      <c r="P823" s="452"/>
      <c r="Q823" s="452"/>
      <c r="R823" s="452"/>
      <c r="S823" s="452"/>
      <c r="T823" s="158"/>
    </row>
    <row r="824" spans="1:20" ht="12.75" customHeight="1" x14ac:dyDescent="0.3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1"/>
      <c r="N824" s="451"/>
      <c r="O824" s="452"/>
      <c r="P824" s="452"/>
      <c r="Q824" s="452"/>
      <c r="R824" s="452"/>
      <c r="S824" s="452"/>
      <c r="T824" s="158"/>
    </row>
    <row r="825" spans="1:20" ht="12.75" customHeight="1" x14ac:dyDescent="0.3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1"/>
      <c r="N825" s="451"/>
      <c r="O825" s="452"/>
      <c r="P825" s="452"/>
      <c r="Q825" s="452"/>
      <c r="R825" s="452"/>
      <c r="S825" s="452"/>
      <c r="T825" s="158"/>
    </row>
    <row r="826" spans="1:20" ht="12.75" customHeight="1" x14ac:dyDescent="0.3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/>
      <c r="M826" s="451"/>
      <c r="N826" s="451">
        <f>AEROSOLdeprate.A*FRaers.aA</f>
        <v>1.0445346185785231E-4</v>
      </c>
      <c r="O826" s="451">
        <f>AEROSOLdeprate.A*FRaers.aA</f>
        <v>1.0445346185785231E-4</v>
      </c>
      <c r="P826" s="451">
        <f>AEROSOLdeprate.A*FRaers.aA</f>
        <v>1.0445346185785231E-4</v>
      </c>
      <c r="Q826" s="451">
        <f>AEROSOLdeprate.A*FRaers.aA</f>
        <v>1.0445346185785231E-4</v>
      </c>
      <c r="R826" s="451">
        <f>AEROSOLdeprate.A*FRaers.aA</f>
        <v>1.0445346185785231E-4</v>
      </c>
      <c r="S826" s="452"/>
      <c r="T826" s="158"/>
    </row>
    <row r="827" spans="1:20" ht="12.75" customHeight="1" x14ac:dyDescent="0.3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/>
      <c r="M827" s="451"/>
      <c r="N827" s="451">
        <f t="shared" ref="N827:R827" si="23">(1-FRgas.aA)*COLLECTeff.A*RAINrate.A</f>
        <v>1.585489599145634E-3</v>
      </c>
      <c r="O827" s="452">
        <f t="shared" si="23"/>
        <v>1.585489599145634E-3</v>
      </c>
      <c r="P827" s="452">
        <f t="shared" si="23"/>
        <v>1.585489599145634E-3</v>
      </c>
      <c r="Q827" s="452">
        <f t="shared" si="23"/>
        <v>1.585489599145634E-3</v>
      </c>
      <c r="R827" s="452">
        <f t="shared" si="23"/>
        <v>1.585489599145634E-3</v>
      </c>
      <c r="S827" s="452"/>
      <c r="T827" s="158"/>
    </row>
    <row r="828" spans="1:20" ht="12.75" customHeight="1" x14ac:dyDescent="0.3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/>
      <c r="M828" s="451"/>
      <c r="N828" s="451">
        <f t="shared" ref="N828:R828" si="24">FRgas.aA*RAINrate.A/Kaw.A</f>
        <v>354.97182528408018</v>
      </c>
      <c r="O828" s="452">
        <f t="shared" si="24"/>
        <v>354.97182528408018</v>
      </c>
      <c r="P828" s="452">
        <f t="shared" si="24"/>
        <v>354.97182528408018</v>
      </c>
      <c r="Q828" s="452">
        <f t="shared" si="24"/>
        <v>354.97182528408018</v>
      </c>
      <c r="R828" s="452">
        <f t="shared" si="24"/>
        <v>354.97182528408018</v>
      </c>
      <c r="S828" s="452"/>
      <c r="T828" s="158"/>
    </row>
    <row r="829" spans="1:20" ht="12.75" customHeight="1" x14ac:dyDescent="0.3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1"/>
      <c r="N829" s="451"/>
      <c r="O829" s="452"/>
      <c r="P829" s="452"/>
      <c r="Q829" s="452"/>
      <c r="R829" s="452"/>
      <c r="S829" s="452"/>
      <c r="T829" s="158"/>
    </row>
    <row r="830" spans="1:20" ht="12.75" customHeight="1" x14ac:dyDescent="0.3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1"/>
      <c r="N830" s="451"/>
      <c r="O830" s="452"/>
      <c r="P830" s="452"/>
      <c r="Q830" s="452"/>
      <c r="R830" s="452"/>
      <c r="S830" s="452"/>
      <c r="T830" s="158"/>
    </row>
    <row r="831" spans="1:20" ht="12.75" customHeight="1" x14ac:dyDescent="0.3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1"/>
      <c r="N831" s="451"/>
      <c r="O831" s="452"/>
      <c r="P831" s="452"/>
      <c r="Q831" s="452"/>
      <c r="R831" s="452"/>
      <c r="S831" s="452"/>
      <c r="T831" s="158"/>
    </row>
    <row r="832" spans="1:20" ht="12.75" customHeight="1" x14ac:dyDescent="0.3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1"/>
      <c r="N832" s="451"/>
      <c r="O832" s="452"/>
      <c r="P832" s="452"/>
      <c r="Q832" s="452"/>
      <c r="R832" s="452"/>
      <c r="S832" s="452"/>
      <c r="T832" s="158"/>
    </row>
    <row r="833" spans="1:20" ht="12.75" customHeight="1" x14ac:dyDescent="0.3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1"/>
      <c r="N833" s="451"/>
      <c r="O833" s="452"/>
      <c r="P833" s="452"/>
      <c r="Q833" s="452"/>
      <c r="R833" s="452"/>
      <c r="S833" s="452"/>
      <c r="T833" s="158"/>
    </row>
    <row r="834" spans="1:20" ht="12.75" customHeight="1" x14ac:dyDescent="0.3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1"/>
      <c r="N834" s="451"/>
      <c r="O834" s="452"/>
      <c r="P834" s="452"/>
      <c r="Q834" s="452"/>
      <c r="R834" s="452"/>
      <c r="S834" s="452"/>
      <c r="T834" s="158"/>
    </row>
    <row r="835" spans="1:20" ht="12.75" customHeight="1" x14ac:dyDescent="0.3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1"/>
      <c r="N835" s="451"/>
      <c r="O835" s="452"/>
      <c r="P835" s="452"/>
      <c r="Q835" s="452"/>
      <c r="R835" s="452"/>
      <c r="S835" s="452"/>
      <c r="T835" s="158"/>
    </row>
    <row r="836" spans="1:20" ht="12.75" customHeight="1" x14ac:dyDescent="0.3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1"/>
      <c r="N836" s="451"/>
      <c r="O836" s="452"/>
      <c r="P836" s="452"/>
      <c r="Q836" s="452"/>
      <c r="R836" s="452"/>
      <c r="S836" s="452"/>
      <c r="T836" s="158"/>
    </row>
    <row r="837" spans="1:20" ht="12.75" customHeight="1" x14ac:dyDescent="0.3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1"/>
      <c r="N837" s="451"/>
      <c r="O837" s="452"/>
      <c r="P837" s="452"/>
      <c r="Q837" s="452"/>
      <c r="R837" s="452"/>
      <c r="S837" s="452"/>
      <c r="T837" s="158"/>
    </row>
    <row r="838" spans="1:20" ht="12.75" customHeight="1" x14ac:dyDescent="0.3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1"/>
      <c r="N838" s="451"/>
      <c r="O838" s="452"/>
      <c r="P838" s="452"/>
      <c r="Q838" s="452"/>
      <c r="R838" s="452"/>
      <c r="S838" s="452"/>
      <c r="T838" s="158"/>
    </row>
    <row r="839" spans="1:20" ht="12.75" customHeight="1" x14ac:dyDescent="0.3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1"/>
      <c r="N839" s="451"/>
      <c r="O839" s="452"/>
      <c r="P839" s="452"/>
      <c r="Q839" s="452"/>
      <c r="R839" s="452"/>
      <c r="S839" s="452"/>
      <c r="T839" s="158"/>
    </row>
    <row r="840" spans="1:20" ht="12.75" customHeight="1" x14ac:dyDescent="0.3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/>
      <c r="M840" s="451"/>
      <c r="N840" s="451">
        <v>2.799723603513301E-9</v>
      </c>
      <c r="O840" s="452">
        <v>2.799723603513301E-9</v>
      </c>
      <c r="P840" s="452">
        <v>2.799723603513301E-9</v>
      </c>
      <c r="Q840" s="452">
        <v>2.799723603513301E-9</v>
      </c>
      <c r="R840" s="452"/>
      <c r="S840" s="452">
        <v>2.799723603513301E-9</v>
      </c>
      <c r="T840" s="158"/>
    </row>
    <row r="841" spans="1:20" ht="12.75" customHeight="1" x14ac:dyDescent="0.3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/>
      <c r="M841" s="451"/>
      <c r="N841" s="451">
        <v>1</v>
      </c>
      <c r="O841" s="452">
        <v>1</v>
      </c>
      <c r="P841" s="452">
        <v>1</v>
      </c>
      <c r="Q841" s="452">
        <v>1</v>
      </c>
      <c r="R841" s="452"/>
      <c r="S841" s="452">
        <v>1</v>
      </c>
      <c r="T841" s="158"/>
    </row>
    <row r="842" spans="1:20" ht="12.75" customHeight="1" x14ac:dyDescent="0.3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59"/>
      <c r="N842" s="459"/>
      <c r="O842" s="460"/>
      <c r="P842" s="460"/>
      <c r="Q842" s="460"/>
      <c r="R842" s="460"/>
      <c r="S842" s="460"/>
      <c r="T842" s="158"/>
    </row>
    <row r="843" spans="1:20" ht="12.75" customHeight="1" x14ac:dyDescent="0.3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1"/>
      <c r="N843" s="451"/>
      <c r="O843" s="452"/>
      <c r="P843" s="452"/>
      <c r="Q843" s="452"/>
      <c r="R843" s="452"/>
      <c r="S843" s="452"/>
      <c r="T843" s="158"/>
    </row>
    <row r="844" spans="1:20" ht="12.75" customHeight="1" x14ac:dyDescent="0.3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1"/>
      <c r="N844" s="451"/>
      <c r="O844" s="452"/>
      <c r="P844" s="452"/>
      <c r="Q844" s="452"/>
      <c r="R844" s="452"/>
      <c r="S844" s="452"/>
      <c r="T844" s="158"/>
    </row>
    <row r="845" spans="1:20" ht="12.75" customHeight="1" x14ac:dyDescent="0.3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1"/>
      <c r="N845" s="451"/>
      <c r="O845" s="452"/>
      <c r="P845" s="452"/>
      <c r="Q845" s="452"/>
      <c r="R845" s="452"/>
      <c r="S845" s="452"/>
      <c r="T845" s="158"/>
    </row>
    <row r="846" spans="1:20" ht="12.75" customHeight="1" x14ac:dyDescent="0.3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1"/>
      <c r="N846" s="451"/>
      <c r="O846" s="452"/>
      <c r="P846" s="452"/>
      <c r="Q846" s="452"/>
      <c r="R846" s="452"/>
      <c r="S846" s="452"/>
      <c r="T846" s="158"/>
    </row>
    <row r="847" spans="1:20" ht="12.75" customHeight="1" x14ac:dyDescent="0.3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1"/>
      <c r="N847" s="451"/>
      <c r="O847" s="452"/>
      <c r="P847" s="452"/>
      <c r="Q847" s="452"/>
      <c r="R847" s="452"/>
      <c r="S847" s="452"/>
      <c r="T847" s="158"/>
    </row>
    <row r="848" spans="1:20" ht="12.75" customHeight="1" x14ac:dyDescent="0.3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1"/>
      <c r="N848" s="451"/>
      <c r="O848" s="452"/>
      <c r="P848" s="452"/>
      <c r="Q848" s="452"/>
      <c r="R848" s="452"/>
      <c r="S848" s="452"/>
      <c r="T848" s="158"/>
    </row>
    <row r="849" spans="1:20" ht="12.75" customHeight="1" x14ac:dyDescent="0.3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1"/>
      <c r="N849" s="451"/>
      <c r="O849" s="452"/>
      <c r="P849" s="452"/>
      <c r="Q849" s="452"/>
      <c r="R849" s="452"/>
      <c r="S849" s="452"/>
      <c r="T849" s="158"/>
    </row>
    <row r="850" spans="1:20" ht="12.75" customHeight="1" x14ac:dyDescent="0.3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1"/>
      <c r="N850" s="451"/>
      <c r="O850" s="452"/>
      <c r="P850" s="452"/>
      <c r="Q850" s="452"/>
      <c r="R850" s="452"/>
      <c r="S850" s="452"/>
      <c r="T850" s="158"/>
    </row>
    <row r="851" spans="1:20" ht="12.75" customHeight="1" x14ac:dyDescent="0.3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1"/>
      <c r="N851" s="451"/>
      <c r="O851" s="452"/>
      <c r="P851" s="452"/>
      <c r="Q851" s="452"/>
      <c r="R851" s="452"/>
      <c r="S851" s="452"/>
      <c r="T851" s="158"/>
    </row>
    <row r="852" spans="1:20" ht="12.75" customHeight="1" x14ac:dyDescent="0.3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1"/>
      <c r="N852" s="451"/>
      <c r="O852" s="452"/>
      <c r="P852" s="452"/>
      <c r="Q852" s="452"/>
      <c r="R852" s="452"/>
      <c r="S852" s="452"/>
      <c r="T852" s="158"/>
    </row>
    <row r="853" spans="1:20" ht="12.75" customHeight="1" x14ac:dyDescent="0.3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1"/>
      <c r="N853" s="451"/>
      <c r="O853" s="452"/>
      <c r="P853" s="452"/>
      <c r="Q853" s="452"/>
      <c r="R853" s="452"/>
      <c r="S853" s="452"/>
      <c r="T853" s="158"/>
    </row>
    <row r="854" spans="1:20" ht="12.75" customHeight="1" x14ac:dyDescent="0.3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1"/>
      <c r="N854" s="451"/>
      <c r="O854" s="452"/>
      <c r="P854" s="452"/>
      <c r="Q854" s="452"/>
      <c r="R854" s="452"/>
      <c r="S854" s="452"/>
      <c r="T854" s="158"/>
    </row>
    <row r="855" spans="1:20" ht="12.75" customHeight="1" x14ac:dyDescent="0.3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59"/>
      <c r="N855" s="459"/>
      <c r="O855" s="460"/>
      <c r="P855" s="460"/>
      <c r="Q855" s="460"/>
      <c r="R855" s="460"/>
      <c r="S855" s="460"/>
      <c r="T855" s="158"/>
    </row>
    <row r="856" spans="1:20" ht="12.75" customHeight="1" x14ac:dyDescent="0.3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1"/>
      <c r="N856" s="451"/>
      <c r="O856" s="452"/>
      <c r="P856" s="452"/>
      <c r="Q856" s="452"/>
      <c r="R856" s="452"/>
      <c r="S856" s="452"/>
      <c r="T856" s="158"/>
    </row>
    <row r="857" spans="1:20" ht="12.75" customHeight="1" x14ac:dyDescent="0.3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1"/>
      <c r="N857" s="451"/>
      <c r="O857" s="452"/>
      <c r="P857" s="452"/>
      <c r="Q857" s="452"/>
      <c r="R857" s="452"/>
      <c r="S857" s="452"/>
      <c r="T857" s="158"/>
    </row>
    <row r="858" spans="1:20" ht="12.75" customHeight="1" x14ac:dyDescent="0.3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1"/>
      <c r="N858" s="451"/>
      <c r="O858" s="452"/>
      <c r="P858" s="452"/>
      <c r="Q858" s="452"/>
      <c r="R858" s="452"/>
      <c r="S858" s="452"/>
      <c r="T858" s="158"/>
    </row>
    <row r="859" spans="1:20" ht="12.75" customHeight="1" x14ac:dyDescent="0.3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/>
      <c r="M859" s="451"/>
      <c r="N859" s="451">
        <v>1</v>
      </c>
      <c r="O859" s="452">
        <v>1</v>
      </c>
      <c r="P859" s="452">
        <v>1</v>
      </c>
      <c r="Q859" s="452">
        <v>1</v>
      </c>
      <c r="R859" s="452"/>
      <c r="S859" s="452">
        <v>1</v>
      </c>
      <c r="T859" s="158"/>
    </row>
    <row r="860" spans="1:20" ht="12.75" customHeight="1" x14ac:dyDescent="0.3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339"/>
      <c r="N860" s="339"/>
      <c r="O860" s="282"/>
      <c r="P860" s="282"/>
      <c r="Q860" s="282"/>
      <c r="R860" s="282"/>
      <c r="S860" s="282"/>
      <c r="T860" s="158"/>
    </row>
    <row r="861" spans="1:20" ht="12.75" customHeight="1" x14ac:dyDescent="0.3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 t="s">
        <v>754</v>
      </c>
      <c r="M861" s="364"/>
      <c r="N861" s="364"/>
      <c r="O861" s="470"/>
      <c r="P861" s="470"/>
      <c r="Q861" s="470"/>
      <c r="R861" s="470"/>
      <c r="S861" s="470"/>
      <c r="T861" s="158"/>
    </row>
    <row r="862" spans="1:20" ht="12.75" customHeight="1" x14ac:dyDescent="0.3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339"/>
      <c r="N862" s="339"/>
      <c r="O862" s="282"/>
      <c r="P862" s="282"/>
      <c r="Q862" s="282"/>
      <c r="R862" s="282"/>
      <c r="S862" s="282"/>
      <c r="T862" s="158"/>
    </row>
    <row r="863" spans="1:20" ht="12.75" customHeight="1" x14ac:dyDescent="0.3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1"/>
      <c r="N863" s="451"/>
      <c r="O863" s="452"/>
      <c r="P863" s="452"/>
      <c r="Q863" s="452"/>
      <c r="R863" s="452"/>
      <c r="S863" s="452"/>
      <c r="T863" s="158"/>
    </row>
    <row r="864" spans="1:20" ht="12.75" customHeight="1" x14ac:dyDescent="0.3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1"/>
      <c r="N864" s="451"/>
      <c r="O864" s="452"/>
      <c r="P864" s="452"/>
      <c r="Q864" s="452"/>
      <c r="R864" s="452"/>
      <c r="S864" s="452"/>
      <c r="T864" s="158"/>
    </row>
    <row r="865" spans="1:20" ht="12.75" customHeight="1" x14ac:dyDescent="0.3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1"/>
      <c r="N865" s="451"/>
      <c r="O865" s="452"/>
      <c r="P865" s="452"/>
      <c r="Q865" s="452"/>
      <c r="R865" s="452"/>
      <c r="S865" s="452"/>
      <c r="T865" s="158"/>
    </row>
    <row r="866" spans="1:20" ht="12.75" customHeight="1" x14ac:dyDescent="0.3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1"/>
      <c r="N866" s="451"/>
      <c r="O866" s="452"/>
      <c r="P866" s="452"/>
      <c r="Q866" s="452"/>
      <c r="R866" s="452"/>
      <c r="S866" s="452"/>
      <c r="T866" s="158"/>
    </row>
    <row r="867" spans="1:20" ht="12.75" customHeight="1" x14ac:dyDescent="0.3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1"/>
      <c r="N867" s="451"/>
      <c r="O867" s="452"/>
      <c r="P867" s="452"/>
      <c r="Q867" s="452"/>
      <c r="R867" s="452"/>
      <c r="S867" s="452"/>
      <c r="T867" s="158"/>
    </row>
    <row r="868" spans="1:20" ht="12.75" customHeight="1" x14ac:dyDescent="0.3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1"/>
      <c r="N868" s="451"/>
      <c r="O868" s="452"/>
      <c r="P868" s="452"/>
      <c r="Q868" s="452"/>
      <c r="R868" s="452"/>
      <c r="S868" s="452"/>
      <c r="T868" s="158"/>
    </row>
    <row r="869" spans="1:20" ht="12.75" customHeight="1" x14ac:dyDescent="0.3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1"/>
      <c r="N869" s="451"/>
      <c r="O869" s="452"/>
      <c r="P869" s="452"/>
      <c r="Q869" s="452"/>
      <c r="R869" s="452"/>
      <c r="S869" s="452"/>
      <c r="T869" s="158"/>
    </row>
    <row r="870" spans="1:20" ht="12.75" customHeight="1" x14ac:dyDescent="0.3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1"/>
      <c r="N870" s="451"/>
      <c r="O870" s="452"/>
      <c r="P870" s="452"/>
      <c r="Q870" s="452"/>
      <c r="R870" s="452"/>
      <c r="S870" s="452"/>
      <c r="T870" s="158"/>
    </row>
    <row r="871" spans="1:20" ht="12.75" customHeight="1" x14ac:dyDescent="0.3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1"/>
      <c r="N871" s="451"/>
      <c r="O871" s="452"/>
      <c r="P871" s="452"/>
      <c r="Q871" s="452"/>
      <c r="R871" s="452"/>
      <c r="S871" s="452"/>
      <c r="T871" s="158"/>
    </row>
    <row r="872" spans="1:20" ht="12.75" customHeight="1" x14ac:dyDescent="0.3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1"/>
      <c r="N872" s="451"/>
      <c r="O872" s="452"/>
      <c r="P872" s="452"/>
      <c r="Q872" s="452"/>
      <c r="R872" s="452"/>
      <c r="S872" s="452"/>
      <c r="T872" s="158"/>
    </row>
    <row r="873" spans="1:20" ht="12.75" customHeight="1" x14ac:dyDescent="0.3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1"/>
      <c r="N873" s="451"/>
      <c r="O873" s="452"/>
      <c r="P873" s="452"/>
      <c r="Q873" s="452"/>
      <c r="R873" s="452"/>
      <c r="S873" s="452"/>
      <c r="T873" s="158"/>
    </row>
    <row r="874" spans="1:20" ht="12.75" customHeight="1" x14ac:dyDescent="0.3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1"/>
      <c r="N874" s="451"/>
      <c r="O874" s="452"/>
      <c r="P874" s="452"/>
      <c r="Q874" s="452"/>
      <c r="R874" s="452"/>
      <c r="S874" s="452"/>
      <c r="T874" s="158"/>
    </row>
    <row r="875" spans="1:20" ht="12.75" customHeight="1" x14ac:dyDescent="0.3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1"/>
      <c r="N875" s="451"/>
      <c r="O875" s="452"/>
      <c r="P875" s="452"/>
      <c r="Q875" s="452"/>
      <c r="R875" s="452"/>
      <c r="S875" s="452"/>
      <c r="T875" s="158"/>
    </row>
    <row r="876" spans="1:20" ht="12.75" customHeight="1" x14ac:dyDescent="0.3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1"/>
      <c r="N876" s="451"/>
      <c r="O876" s="452"/>
      <c r="P876" s="452"/>
      <c r="Q876" s="452"/>
      <c r="R876" s="452"/>
      <c r="S876" s="452"/>
      <c r="T876" s="158"/>
    </row>
    <row r="877" spans="1:20" ht="12.75" customHeight="1" x14ac:dyDescent="0.3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1"/>
      <c r="N877" s="451"/>
      <c r="O877" s="452"/>
      <c r="P877" s="452"/>
      <c r="Q877" s="452"/>
      <c r="R877" s="452"/>
      <c r="S877" s="452"/>
      <c r="T877" s="158"/>
    </row>
    <row r="878" spans="1:20" ht="12.75" customHeight="1" x14ac:dyDescent="0.3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1"/>
      <c r="N878" s="451"/>
      <c r="O878" s="452"/>
      <c r="P878" s="452"/>
      <c r="Q878" s="452"/>
      <c r="R878" s="452"/>
      <c r="S878" s="452"/>
      <c r="T878" s="158"/>
    </row>
    <row r="879" spans="1:20" ht="12.75" customHeight="1" x14ac:dyDescent="0.3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1"/>
      <c r="N879" s="451"/>
      <c r="O879" s="452"/>
      <c r="P879" s="452"/>
      <c r="Q879" s="452"/>
      <c r="R879" s="452"/>
      <c r="S879" s="452"/>
      <c r="T879" s="158"/>
    </row>
    <row r="880" spans="1:20" ht="12.75" customHeight="1" x14ac:dyDescent="0.3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/>
      <c r="M880" s="451"/>
      <c r="N880" s="451">
        <v>1</v>
      </c>
      <c r="O880" s="452">
        <v>1</v>
      </c>
      <c r="P880" s="452">
        <v>1</v>
      </c>
      <c r="Q880" s="452">
        <v>1</v>
      </c>
      <c r="R880" s="452"/>
      <c r="S880" s="452">
        <v>1</v>
      </c>
      <c r="T880" s="158"/>
    </row>
    <row r="881" spans="1:20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356"/>
      <c r="N881" s="356"/>
      <c r="O881" s="471"/>
      <c r="P881" s="471"/>
      <c r="Q881" s="471"/>
      <c r="R881" s="471"/>
      <c r="S881" s="471"/>
      <c r="T881" s="158"/>
    </row>
    <row r="882" spans="1:20" ht="12.75" customHeight="1" x14ac:dyDescent="0.3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339"/>
      <c r="N882" s="339"/>
      <c r="O882" s="282"/>
      <c r="P882" s="282"/>
      <c r="Q882" s="282"/>
      <c r="R882" s="282"/>
      <c r="S882" s="282"/>
      <c r="T882" s="158"/>
    </row>
    <row r="883" spans="1:20" ht="12.75" customHeight="1" x14ac:dyDescent="0.3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339"/>
      <c r="N883" s="339"/>
      <c r="O883" s="282"/>
      <c r="P883" s="282"/>
      <c r="Q883" s="282"/>
      <c r="R883" s="282"/>
      <c r="S883" s="282"/>
      <c r="T883" s="158"/>
    </row>
    <row r="884" spans="1:20" ht="12.75" customHeight="1" x14ac:dyDescent="0.3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339"/>
      <c r="N884" s="339"/>
      <c r="O884" s="282"/>
      <c r="P884" s="282"/>
      <c r="Q884" s="282"/>
      <c r="R884" s="282"/>
      <c r="S884" s="282"/>
      <c r="T884" s="158"/>
    </row>
    <row r="885" spans="1:20" ht="12.75" customHeight="1" x14ac:dyDescent="0.3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339"/>
      <c r="N885" s="339"/>
      <c r="O885" s="282"/>
      <c r="P885" s="282"/>
      <c r="Q885" s="282"/>
      <c r="R885" s="282"/>
      <c r="S885" s="282"/>
      <c r="T885" s="158"/>
    </row>
    <row r="886" spans="1:20" ht="12.75" customHeight="1" x14ac:dyDescent="0.3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 t="s">
        <v>754</v>
      </c>
      <c r="M886" s="364"/>
      <c r="N886" s="364"/>
      <c r="O886" s="470"/>
      <c r="P886" s="470"/>
      <c r="Q886" s="470"/>
      <c r="R886" s="470"/>
      <c r="S886" s="470"/>
      <c r="T886" s="158"/>
    </row>
    <row r="887" spans="1:20" ht="12.75" customHeight="1" x14ac:dyDescent="0.3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339"/>
      <c r="N887" s="339"/>
      <c r="O887" s="282"/>
      <c r="P887" s="282"/>
      <c r="Q887" s="282"/>
      <c r="R887" s="282"/>
      <c r="S887" s="282"/>
      <c r="T887" s="158"/>
    </row>
    <row r="888" spans="1:20" ht="12.75" customHeight="1" x14ac:dyDescent="0.3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1"/>
      <c r="N888" s="451"/>
      <c r="O888" s="452"/>
      <c r="P888" s="452"/>
      <c r="Q888" s="452"/>
      <c r="R888" s="452"/>
      <c r="S888" s="452"/>
      <c r="T888" s="158"/>
    </row>
    <row r="889" spans="1:20" ht="12.75" customHeight="1" x14ac:dyDescent="0.3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1"/>
      <c r="N889" s="451"/>
      <c r="O889" s="452"/>
      <c r="P889" s="452"/>
      <c r="Q889" s="452"/>
      <c r="R889" s="452"/>
      <c r="S889" s="452"/>
      <c r="T889" s="158"/>
    </row>
    <row r="890" spans="1:20" ht="12.75" customHeight="1" x14ac:dyDescent="0.3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1"/>
      <c r="N890" s="451"/>
      <c r="O890" s="452"/>
      <c r="P890" s="452"/>
      <c r="Q890" s="452"/>
      <c r="R890" s="452"/>
      <c r="S890" s="452"/>
      <c r="T890" s="158"/>
    </row>
    <row r="891" spans="1:20" ht="12.75" customHeight="1" x14ac:dyDescent="0.3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1"/>
      <c r="N891" s="451"/>
      <c r="O891" s="452"/>
      <c r="P891" s="452"/>
      <c r="Q891" s="452"/>
      <c r="R891" s="452"/>
      <c r="S891" s="452"/>
      <c r="T891" s="158"/>
    </row>
    <row r="892" spans="1:20" ht="12.75" customHeight="1" x14ac:dyDescent="0.3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1"/>
      <c r="N892" s="451"/>
      <c r="O892" s="452"/>
      <c r="P892" s="452"/>
      <c r="Q892" s="452"/>
      <c r="R892" s="452"/>
      <c r="S892" s="452"/>
      <c r="T892" s="158"/>
    </row>
    <row r="893" spans="1:20" ht="12.75" customHeight="1" x14ac:dyDescent="0.3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1"/>
      <c r="N893" s="451"/>
      <c r="O893" s="452"/>
      <c r="P893" s="452"/>
      <c r="Q893" s="452"/>
      <c r="R893" s="452"/>
      <c r="S893" s="452"/>
      <c r="T893" s="158"/>
    </row>
    <row r="894" spans="1:20" ht="12.75" customHeight="1" x14ac:dyDescent="0.3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1"/>
      <c r="N894" s="451"/>
      <c r="O894" s="452"/>
      <c r="P894" s="452"/>
      <c r="Q894" s="452"/>
      <c r="R894" s="452"/>
      <c r="S894" s="452"/>
      <c r="T894" s="158"/>
    </row>
    <row r="895" spans="1:20" ht="12.75" customHeight="1" x14ac:dyDescent="0.3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1"/>
      <c r="N895" s="451"/>
      <c r="O895" s="452"/>
      <c r="P895" s="452"/>
      <c r="Q895" s="452"/>
      <c r="R895" s="452"/>
      <c r="S895" s="452"/>
      <c r="T895" s="158"/>
    </row>
    <row r="896" spans="1:20" ht="12.75" customHeight="1" x14ac:dyDescent="0.3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1"/>
      <c r="N896" s="451"/>
      <c r="O896" s="452"/>
      <c r="P896" s="452"/>
      <c r="Q896" s="452"/>
      <c r="R896" s="452"/>
      <c r="S896" s="452"/>
      <c r="T896" s="158"/>
    </row>
    <row r="897" spans="1:20" ht="12.75" customHeight="1" x14ac:dyDescent="0.3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/>
      <c r="M897" s="451"/>
      <c r="N897" s="451">
        <v>990</v>
      </c>
      <c r="O897" s="452">
        <v>990</v>
      </c>
      <c r="P897" s="452"/>
      <c r="Q897" s="452">
        <v>990</v>
      </c>
      <c r="R897" s="452">
        <v>990</v>
      </c>
      <c r="S897" s="452">
        <v>990</v>
      </c>
      <c r="T897" s="158"/>
    </row>
    <row r="898" spans="1:20" ht="12.75" customHeight="1" x14ac:dyDescent="0.3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/>
      <c r="M898" s="451"/>
      <c r="N898" s="451">
        <v>10</v>
      </c>
      <c r="O898" s="452">
        <v>10</v>
      </c>
      <c r="P898" s="452"/>
      <c r="Q898" s="452">
        <v>10</v>
      </c>
      <c r="R898" s="452">
        <v>10</v>
      </c>
      <c r="S898" s="452">
        <v>10</v>
      </c>
      <c r="T898" s="158"/>
    </row>
    <row r="899" spans="1:20" ht="12.75" customHeight="1" x14ac:dyDescent="0.3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1"/>
      <c r="N899" s="451"/>
      <c r="O899" s="452"/>
      <c r="P899" s="452"/>
      <c r="Q899" s="452"/>
      <c r="R899" s="452"/>
      <c r="S899" s="452"/>
      <c r="T899" s="158"/>
    </row>
    <row r="900" spans="1:20" ht="12.75" customHeight="1" x14ac:dyDescent="0.3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1"/>
      <c r="N900" s="451"/>
      <c r="O900" s="452"/>
      <c r="P900" s="452"/>
      <c r="Q900" s="452"/>
      <c r="R900" s="452"/>
      <c r="S900" s="452"/>
      <c r="T900" s="158"/>
    </row>
    <row r="901" spans="1:20" ht="12.75" customHeight="1" x14ac:dyDescent="0.3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/>
      <c r="M901" s="451"/>
      <c r="N901" s="451">
        <v>4.9999999999999995E-11</v>
      </c>
      <c r="O901" s="452">
        <v>4.9999999999999995E-11</v>
      </c>
      <c r="P901" s="452">
        <v>4.9999999999999995E-11</v>
      </c>
      <c r="Q901" s="452">
        <v>4.9999999999999995E-11</v>
      </c>
      <c r="R901" s="452">
        <v>4.9999999999999995E-11</v>
      </c>
      <c r="S901" s="452"/>
      <c r="T901" s="158"/>
    </row>
    <row r="902" spans="1:20" ht="12.75" customHeight="1" x14ac:dyDescent="0.3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/>
      <c r="M902" s="451"/>
      <c r="N902" s="451">
        <v>9.9999999999999995E-21</v>
      </c>
      <c r="O902" s="452">
        <v>9.9999999999999995E-21</v>
      </c>
      <c r="P902" s="452">
        <v>9.9999999999999995E-21</v>
      </c>
      <c r="Q902" s="452">
        <v>9.9999999999999995E-21</v>
      </c>
      <c r="R902" s="452">
        <v>9.9999999999999995E-21</v>
      </c>
      <c r="S902" s="452"/>
      <c r="T902" s="158"/>
    </row>
    <row r="903" spans="1:20" ht="12.75" customHeight="1" x14ac:dyDescent="0.3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1"/>
      <c r="N903" s="451"/>
      <c r="O903" s="452"/>
      <c r="P903" s="452"/>
      <c r="Q903" s="452"/>
      <c r="R903" s="452"/>
      <c r="S903" s="452"/>
      <c r="T903" s="158"/>
    </row>
    <row r="904" spans="1:20" ht="12.75" customHeight="1" x14ac:dyDescent="0.3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1"/>
      <c r="N904" s="451"/>
      <c r="O904" s="452"/>
      <c r="P904" s="452"/>
      <c r="Q904" s="452"/>
      <c r="R904" s="452"/>
      <c r="S904" s="452"/>
      <c r="T904" s="158"/>
    </row>
    <row r="905" spans="1:20" ht="12.75" customHeight="1" x14ac:dyDescent="0.3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1"/>
      <c r="N905" s="451"/>
      <c r="O905" s="452"/>
      <c r="P905" s="452"/>
      <c r="Q905" s="452"/>
      <c r="R905" s="452"/>
      <c r="S905" s="452"/>
      <c r="T905" s="158"/>
    </row>
    <row r="906" spans="1:20" ht="12.75" customHeight="1" x14ac:dyDescent="0.3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1"/>
      <c r="N906" s="451"/>
      <c r="O906" s="452"/>
      <c r="P906" s="452"/>
      <c r="Q906" s="452"/>
      <c r="R906" s="452"/>
      <c r="S906" s="452"/>
      <c r="T906" s="158"/>
    </row>
    <row r="907" spans="1:20" ht="12.75" customHeight="1" x14ac:dyDescent="0.3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1"/>
      <c r="N907" s="451"/>
      <c r="O907" s="452"/>
      <c r="P907" s="452"/>
      <c r="Q907" s="452"/>
      <c r="R907" s="452"/>
      <c r="S907" s="452"/>
      <c r="T907" s="158"/>
    </row>
    <row r="908" spans="1:20" ht="12.75" customHeight="1" x14ac:dyDescent="0.3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1"/>
      <c r="N908" s="451"/>
      <c r="O908" s="452"/>
      <c r="P908" s="452"/>
      <c r="Q908" s="452"/>
      <c r="R908" s="452"/>
      <c r="S908" s="452"/>
      <c r="T908" s="158"/>
    </row>
    <row r="909" spans="1:20" ht="12.75" customHeight="1" x14ac:dyDescent="0.3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1"/>
      <c r="N909" s="451"/>
      <c r="O909" s="452"/>
      <c r="P909" s="452"/>
      <c r="Q909" s="452"/>
      <c r="R909" s="452"/>
      <c r="S909" s="452"/>
      <c r="T909" s="158"/>
    </row>
    <row r="910" spans="1:20" ht="12.75" customHeight="1" x14ac:dyDescent="0.3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1"/>
      <c r="N910" s="451"/>
      <c r="O910" s="452"/>
      <c r="P910" s="452"/>
      <c r="Q910" s="452"/>
      <c r="R910" s="452"/>
      <c r="S910" s="452"/>
      <c r="T910" s="158"/>
    </row>
    <row r="911" spans="1:20" ht="12.75" customHeight="1" x14ac:dyDescent="0.3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1"/>
      <c r="N911" s="451"/>
      <c r="O911" s="452"/>
      <c r="P911" s="452"/>
      <c r="Q911" s="452"/>
      <c r="R911" s="452"/>
      <c r="S911" s="452"/>
      <c r="T911" s="158"/>
    </row>
    <row r="912" spans="1:20" ht="12.75" customHeight="1" x14ac:dyDescent="0.3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1"/>
      <c r="N912" s="451"/>
      <c r="O912" s="452"/>
      <c r="P912" s="452"/>
      <c r="Q912" s="452"/>
      <c r="R912" s="452"/>
      <c r="S912" s="452"/>
      <c r="T912" s="158"/>
    </row>
    <row r="913" spans="1:20" ht="12.75" customHeight="1" x14ac:dyDescent="0.3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/>
      <c r="M913" s="451"/>
      <c r="N913" s="451">
        <v>9.9999999999999995E-21</v>
      </c>
      <c r="O913" s="452">
        <v>9.9999999999999995E-21</v>
      </c>
      <c r="P913" s="452"/>
      <c r="Q913" s="452">
        <v>9.9999999999999995E-21</v>
      </c>
      <c r="R913" s="452">
        <v>9.9999999999999995E-21</v>
      </c>
      <c r="S913" s="452">
        <v>9.9999999999999995E-21</v>
      </c>
      <c r="T913" s="158"/>
    </row>
    <row r="914" spans="1:20" ht="12.75" customHeight="1" x14ac:dyDescent="0.3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/>
      <c r="M914" s="451"/>
      <c r="N914" s="451">
        <v>94472218.138455927</v>
      </c>
      <c r="O914" s="452">
        <v>94472218.138455927</v>
      </c>
      <c r="P914" s="452"/>
      <c r="Q914" s="452">
        <v>94472218.138455927</v>
      </c>
      <c r="R914" s="452">
        <v>94472218.138455927</v>
      </c>
      <c r="S914" s="452">
        <v>94472218.138455927</v>
      </c>
      <c r="T914" s="158"/>
    </row>
    <row r="915" spans="1:20" ht="12.75" customHeight="1" x14ac:dyDescent="0.3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1"/>
      <c r="N915" s="451"/>
      <c r="O915" s="452"/>
      <c r="P915" s="452"/>
      <c r="Q915" s="452"/>
      <c r="R915" s="452"/>
      <c r="S915" s="452"/>
      <c r="T915" s="158"/>
    </row>
    <row r="916" spans="1:20" ht="12.75" customHeight="1" x14ac:dyDescent="0.3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1"/>
      <c r="N916" s="451"/>
      <c r="O916" s="452"/>
      <c r="P916" s="452"/>
      <c r="Q916" s="452"/>
      <c r="R916" s="452"/>
      <c r="S916" s="452"/>
      <c r="T916" s="158"/>
    </row>
    <row r="917" spans="1:20" ht="12.75" customHeight="1" x14ac:dyDescent="0.3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1"/>
      <c r="N917" s="451"/>
      <c r="O917" s="452"/>
      <c r="P917" s="452"/>
      <c r="Q917" s="452"/>
      <c r="R917" s="452"/>
      <c r="S917" s="452"/>
      <c r="T917" s="158"/>
    </row>
    <row r="918" spans="1:20" ht="12.75" customHeight="1" x14ac:dyDescent="0.3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1"/>
      <c r="N918" s="451"/>
      <c r="O918" s="452"/>
      <c r="P918" s="452"/>
      <c r="Q918" s="452"/>
      <c r="R918" s="452"/>
      <c r="S918" s="452"/>
      <c r="T918" s="158"/>
    </row>
    <row r="919" spans="1:20" ht="12.75" customHeight="1" x14ac:dyDescent="0.3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339"/>
      <c r="N919" s="339"/>
      <c r="O919" s="282"/>
      <c r="P919" s="282"/>
      <c r="Q919" s="282"/>
      <c r="R919" s="282"/>
      <c r="S919" s="282"/>
      <c r="T919" s="158"/>
    </row>
    <row r="920" spans="1:20" ht="12.75" customHeight="1" x14ac:dyDescent="0.3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 t="s">
        <v>754</v>
      </c>
      <c r="M920" s="364"/>
      <c r="N920" s="364"/>
      <c r="O920" s="470"/>
      <c r="P920" s="470"/>
      <c r="Q920" s="470"/>
      <c r="R920" s="470"/>
      <c r="S920" s="470"/>
      <c r="T920" s="158"/>
    </row>
    <row r="921" spans="1:20" ht="12.75" customHeight="1" x14ac:dyDescent="0.3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339"/>
      <c r="N921" s="339"/>
      <c r="O921" s="282"/>
      <c r="P921" s="282"/>
      <c r="Q921" s="282"/>
      <c r="R921" s="282"/>
      <c r="S921" s="282"/>
      <c r="T921" s="158"/>
    </row>
    <row r="922" spans="1:20" ht="12.75" customHeight="1" x14ac:dyDescent="0.3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/>
      <c r="M922" s="451"/>
      <c r="N922" s="451">
        <f t="shared" ref="N922:R922" si="25">1-(0.0000258)/(IF(Tm&gt;298,EXP(-6.79*(1-Tm/298))*Pvap25*EXP((H0vap/8.314)*(1/298-1/TEMP.T)),Pvap25*EXP((H0vap/8.314)*(1/298-1/TEMP.T)))+(0.0000258))</f>
        <v>0.99999355004160229</v>
      </c>
      <c r="O922" s="452">
        <f t="shared" si="25"/>
        <v>0.99999355004160229</v>
      </c>
      <c r="P922" s="452">
        <f t="shared" si="25"/>
        <v>0.99999355004160229</v>
      </c>
      <c r="Q922" s="452">
        <f t="shared" si="25"/>
        <v>0.99999355004160229</v>
      </c>
      <c r="R922" s="452">
        <f t="shared" si="25"/>
        <v>0.99999355004160229</v>
      </c>
      <c r="S922" s="452"/>
      <c r="T922" s="158"/>
    </row>
    <row r="923" spans="1:20" ht="12.75" customHeight="1" x14ac:dyDescent="0.3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1"/>
      <c r="N923" s="451"/>
      <c r="O923" s="452"/>
      <c r="P923" s="452"/>
      <c r="Q923" s="452"/>
      <c r="R923" s="452"/>
      <c r="S923" s="452"/>
      <c r="T923" s="158"/>
    </row>
    <row r="924" spans="1:20" ht="12.75" customHeight="1" x14ac:dyDescent="0.3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/>
      <c r="M924" s="451"/>
      <c r="N924" s="451">
        <f t="shared" ref="N924:R924" si="26">(0.0000258)/(IF(Tm&gt;298,EXP(-6.79*(1-Tm/298))*Pvap25*EXP((H0vap/8.314)*(1/298-1/TEMP.T)),Pvap25*EXP((H0vap/8.314)*(1/298-1/TEMP.T)))+(0.0000258))</f>
        <v>6.4499583977683341E-6</v>
      </c>
      <c r="O924" s="452">
        <f t="shared" si="26"/>
        <v>6.4499583977683341E-6</v>
      </c>
      <c r="P924" s="452">
        <f t="shared" si="26"/>
        <v>6.4499583977683341E-6</v>
      </c>
      <c r="Q924" s="452">
        <f t="shared" si="26"/>
        <v>6.4499583977683341E-6</v>
      </c>
      <c r="R924" s="452">
        <f t="shared" si="26"/>
        <v>6.4499583977683341E-6</v>
      </c>
      <c r="S924" s="452"/>
      <c r="T924" s="158"/>
    </row>
    <row r="925" spans="1:20" ht="12.75" customHeight="1" x14ac:dyDescent="0.3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1"/>
      <c r="N925" s="451"/>
      <c r="O925" s="452"/>
      <c r="P925" s="452"/>
      <c r="Q925" s="452"/>
      <c r="R925" s="452"/>
      <c r="S925" s="452"/>
      <c r="T925" s="158"/>
    </row>
    <row r="926" spans="1:20" ht="12.75" customHeight="1" x14ac:dyDescent="0.3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1"/>
      <c r="N926" s="451"/>
      <c r="O926" s="452"/>
      <c r="P926" s="452"/>
      <c r="Q926" s="452"/>
      <c r="R926" s="452"/>
      <c r="S926" s="452"/>
      <c r="T926" s="158"/>
    </row>
    <row r="927" spans="1:20" ht="12.75" customHeight="1" x14ac:dyDescent="0.3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1"/>
      <c r="N927" s="451"/>
      <c r="O927" s="452"/>
      <c r="P927" s="452"/>
      <c r="Q927" s="452"/>
      <c r="R927" s="452"/>
      <c r="S927" s="452"/>
      <c r="T927" s="158"/>
    </row>
    <row r="928" spans="1:20" ht="12.75" customHeight="1" x14ac:dyDescent="0.3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1"/>
      <c r="N928" s="451"/>
      <c r="O928" s="452"/>
      <c r="P928" s="452"/>
      <c r="Q928" s="452"/>
      <c r="R928" s="452"/>
      <c r="S928" s="452"/>
      <c r="T928" s="158"/>
    </row>
    <row r="929" spans="1:20" ht="12.75" customHeight="1" x14ac:dyDescent="0.3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/>
      <c r="M929" s="451"/>
      <c r="N929" s="451">
        <f t="shared" ref="N929:R929" si="27">1/(1+Kp.susp2T*SUSP.w2T/1000+0.05*Kow*0.001/1000)</f>
        <v>0.97560889946535656</v>
      </c>
      <c r="O929" s="452">
        <f t="shared" si="27"/>
        <v>0.97560889946535656</v>
      </c>
      <c r="P929" s="452">
        <f t="shared" si="27"/>
        <v>0.97560889946535656</v>
      </c>
      <c r="Q929" s="452">
        <f t="shared" si="27"/>
        <v>0.97560889946535656</v>
      </c>
      <c r="R929" s="452">
        <f t="shared" si="27"/>
        <v>0.97560889946535656</v>
      </c>
      <c r="S929" s="452"/>
      <c r="T929" s="158"/>
    </row>
    <row r="930" spans="1:20" ht="12.75" customHeight="1" x14ac:dyDescent="0.3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/>
      <c r="M930" s="451"/>
      <c r="N930" s="451">
        <f t="shared" ref="N930:R930" si="28">1/(1+Kp.susp3T*SUSP.w3T/1000+0.05*Kow*0.001/1000)</f>
        <v>0.97560889946535656</v>
      </c>
      <c r="O930" s="452">
        <f t="shared" si="28"/>
        <v>0.97560889946535656</v>
      </c>
      <c r="P930" s="452">
        <f t="shared" si="28"/>
        <v>0.97560889946535656</v>
      </c>
      <c r="Q930" s="452">
        <f t="shared" si="28"/>
        <v>0.97560889946535656</v>
      </c>
      <c r="R930" s="452">
        <f t="shared" si="28"/>
        <v>0.97560889946535656</v>
      </c>
      <c r="S930" s="452"/>
      <c r="T930" s="158"/>
    </row>
    <row r="931" spans="1:20" ht="12.75" customHeight="1" x14ac:dyDescent="0.3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1"/>
      <c r="N931" s="451"/>
      <c r="O931" s="452"/>
      <c r="P931" s="452"/>
      <c r="Q931" s="452"/>
      <c r="R931" s="452"/>
      <c r="S931" s="452"/>
      <c r="T931" s="158"/>
    </row>
    <row r="932" spans="1:20" ht="12.75" customHeight="1" x14ac:dyDescent="0.3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1"/>
      <c r="N932" s="451"/>
      <c r="O932" s="452"/>
      <c r="P932" s="452"/>
      <c r="Q932" s="452"/>
      <c r="R932" s="452"/>
      <c r="S932" s="452"/>
      <c r="T932" s="158"/>
    </row>
    <row r="933" spans="1:20" ht="12.75" customHeight="1" x14ac:dyDescent="0.3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1"/>
      <c r="N933" s="451"/>
      <c r="O933" s="452"/>
      <c r="P933" s="452"/>
      <c r="Q933" s="452"/>
      <c r="R933" s="452"/>
      <c r="S933" s="452"/>
      <c r="T933" s="158"/>
    </row>
    <row r="934" spans="1:20" ht="12.75" customHeight="1" x14ac:dyDescent="0.3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1"/>
      <c r="N934" s="451"/>
      <c r="O934" s="452"/>
      <c r="P934" s="452"/>
      <c r="Q934" s="452"/>
      <c r="R934" s="452"/>
      <c r="S934" s="452"/>
      <c r="T934" s="158"/>
    </row>
    <row r="935" spans="1:20" ht="12.75" customHeight="1" x14ac:dyDescent="0.3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1"/>
      <c r="N935" s="451"/>
      <c r="O935" s="452"/>
      <c r="P935" s="452"/>
      <c r="Q935" s="452"/>
      <c r="R935" s="452"/>
      <c r="S935" s="452"/>
      <c r="T935" s="158"/>
    </row>
    <row r="936" spans="1:20" ht="12.75" customHeight="1" x14ac:dyDescent="0.3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1"/>
      <c r="N936" s="451"/>
      <c r="O936" s="452"/>
      <c r="P936" s="452"/>
      <c r="Q936" s="452"/>
      <c r="R936" s="452"/>
      <c r="S936" s="452"/>
      <c r="T936" s="158"/>
    </row>
    <row r="937" spans="1:20" ht="12.75" customHeight="1" x14ac:dyDescent="0.3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1"/>
      <c r="N937" s="451"/>
      <c r="O937" s="452"/>
      <c r="P937" s="452"/>
      <c r="Q937" s="452"/>
      <c r="R937" s="452"/>
      <c r="S937" s="452"/>
      <c r="T937" s="158"/>
    </row>
    <row r="938" spans="1:20" ht="12.75" customHeight="1" x14ac:dyDescent="0.3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1"/>
      <c r="N938" s="451"/>
      <c r="O938" s="452"/>
      <c r="P938" s="452"/>
      <c r="Q938" s="452"/>
      <c r="R938" s="452"/>
      <c r="S938" s="452"/>
      <c r="T938" s="158"/>
    </row>
    <row r="939" spans="1:20" ht="12.75" customHeight="1" x14ac:dyDescent="0.3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1"/>
      <c r="N939" s="451"/>
      <c r="O939" s="452"/>
      <c r="P939" s="452"/>
      <c r="Q939" s="452"/>
      <c r="R939" s="452"/>
      <c r="S939" s="452"/>
      <c r="T939" s="158"/>
    </row>
    <row r="940" spans="1:20" ht="12.75" customHeight="1" x14ac:dyDescent="0.3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1"/>
      <c r="N940" s="451"/>
      <c r="O940" s="452"/>
      <c r="P940" s="452"/>
      <c r="Q940" s="452"/>
      <c r="R940" s="452"/>
      <c r="S940" s="452"/>
      <c r="T940" s="158"/>
    </row>
    <row r="941" spans="1:20" ht="12.75" customHeight="1" x14ac:dyDescent="0.3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1"/>
      <c r="N941" s="451"/>
      <c r="O941" s="452"/>
      <c r="P941" s="452"/>
      <c r="Q941" s="452"/>
      <c r="R941" s="452"/>
      <c r="S941" s="452"/>
      <c r="T941" s="158"/>
    </row>
    <row r="942" spans="1:20" ht="12.75" customHeight="1" x14ac:dyDescent="0.3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1"/>
      <c r="N942" s="451"/>
      <c r="O942" s="452"/>
      <c r="P942" s="452"/>
      <c r="Q942" s="452"/>
      <c r="R942" s="452"/>
      <c r="S942" s="452"/>
      <c r="T942" s="158"/>
    </row>
    <row r="943" spans="1:20" ht="12.75" customHeight="1" x14ac:dyDescent="0.3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1"/>
      <c r="N943" s="451"/>
      <c r="O943" s="452"/>
      <c r="P943" s="452"/>
      <c r="Q943" s="452"/>
      <c r="R943" s="452"/>
      <c r="S943" s="452"/>
      <c r="T943" s="158"/>
    </row>
    <row r="944" spans="1:20" ht="12.75" customHeight="1" x14ac:dyDescent="0.3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1"/>
      <c r="N944" s="451"/>
      <c r="O944" s="452"/>
      <c r="P944" s="452"/>
      <c r="Q944" s="452"/>
      <c r="R944" s="452"/>
      <c r="S944" s="452"/>
      <c r="T944" s="158"/>
    </row>
    <row r="945" spans="1:20" ht="12.75" customHeight="1" x14ac:dyDescent="0.3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1"/>
      <c r="N945" s="451"/>
      <c r="O945" s="452"/>
      <c r="P945" s="452"/>
      <c r="Q945" s="452"/>
      <c r="R945" s="452"/>
      <c r="S945" s="452"/>
      <c r="T945" s="158"/>
    </row>
    <row r="946" spans="1:20" ht="12.75" customHeight="1" x14ac:dyDescent="0.3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1"/>
      <c r="N946" s="451"/>
      <c r="O946" s="452"/>
      <c r="P946" s="452"/>
      <c r="Q946" s="452"/>
      <c r="R946" s="452"/>
      <c r="S946" s="452"/>
      <c r="T946" s="158"/>
    </row>
    <row r="947" spans="1:20" ht="12.75" customHeight="1" x14ac:dyDescent="0.3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1"/>
      <c r="N947" s="451"/>
      <c r="O947" s="452"/>
      <c r="P947" s="452"/>
      <c r="Q947" s="452"/>
      <c r="R947" s="452"/>
      <c r="S947" s="452"/>
      <c r="T947" s="158"/>
    </row>
    <row r="948" spans="1:20" ht="12.75" customHeight="1" x14ac:dyDescent="0.3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1"/>
      <c r="N948" s="451"/>
      <c r="O948" s="452"/>
      <c r="P948" s="452"/>
      <c r="Q948" s="452"/>
      <c r="R948" s="452"/>
      <c r="S948" s="452"/>
      <c r="T948" s="158"/>
    </row>
    <row r="949" spans="1:20" ht="12.75" customHeight="1" x14ac:dyDescent="0.3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339"/>
      <c r="N949" s="339"/>
      <c r="O949" s="282"/>
      <c r="P949" s="282"/>
      <c r="Q949" s="282"/>
      <c r="R949" s="282"/>
      <c r="S949" s="282"/>
      <c r="T949" s="158"/>
    </row>
    <row r="950" spans="1:20" ht="12.75" customHeight="1" x14ac:dyDescent="0.3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 t="s">
        <v>754</v>
      </c>
      <c r="M950" s="364"/>
      <c r="N950" s="364"/>
      <c r="O950" s="470"/>
      <c r="P950" s="470"/>
      <c r="Q950" s="470"/>
      <c r="R950" s="470"/>
      <c r="S950" s="470"/>
      <c r="T950" s="158"/>
    </row>
    <row r="951" spans="1:20" ht="12.75" customHeight="1" x14ac:dyDescent="0.3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339"/>
      <c r="N951" s="339"/>
      <c r="O951" s="282"/>
      <c r="P951" s="282"/>
      <c r="Q951" s="282"/>
      <c r="R951" s="282"/>
      <c r="S951" s="282"/>
      <c r="T951" s="158"/>
    </row>
    <row r="952" spans="1:20" ht="12.75" customHeight="1" x14ac:dyDescent="0.3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/>
      <c r="M952" s="451"/>
      <c r="N952" s="451">
        <f>((DRYDEPaerosol.T+AerosolWashout.T+GasWashout.T+GASABS.aT.wT)/HEIGHT.aT)*AREAFRAC.wT</f>
        <v>8.1680626551044622</v>
      </c>
      <c r="O952" s="451">
        <f>((DRYDEPaerosol.T+AerosolWashout.T+GasWashout.T+GASABS.aT.wT)/HEIGHT.aT)*AREAFRAC.wT</f>
        <v>8.1680626551044622</v>
      </c>
      <c r="P952" s="451">
        <f>((DRYDEPaerosol.T+AerosolWashout.T+GasWashout.T+GASABS.aT.wT)/HEIGHT.aT)*AREAFRAC.wT</f>
        <v>8.1680626551044622</v>
      </c>
      <c r="Q952" s="451">
        <f>((DRYDEPaerosol.T+AerosolWashout.T+GasWashout.T+GASABS.aT.wT)/HEIGHT.aT)*AREAFRAC.wT</f>
        <v>8.1680626551044622</v>
      </c>
      <c r="R952" s="451">
        <f>((DRYDEPaerosol.T+AerosolWashout.T+GasWashout.T+GASABS.aT.wT)/HEIGHT.aT)*AREAFRAC.wT</f>
        <v>8.1680626551044622</v>
      </c>
      <c r="S952" s="452"/>
      <c r="T952" s="158"/>
    </row>
    <row r="953" spans="1:20" ht="12.75" customHeight="1" x14ac:dyDescent="0.3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/>
      <c r="M953" s="451"/>
      <c r="N953" s="451">
        <f>((DRYDEPaerosol.T+AerosolWashout.T+GasWashout.T+GASABS.aT.sT)/HEIGHT.aT)*AREAFRAC.sT</f>
        <v>3.5005982807590561</v>
      </c>
      <c r="O953" s="451">
        <f>((DRYDEPaerosol.T+AerosolWashout.T+GasWashout.T+GASABS.aT.sT)/HEIGHT.aT)*AREAFRAC.sT</f>
        <v>3.5005982807590561</v>
      </c>
      <c r="P953" s="451">
        <f>((DRYDEPaerosol.T+AerosolWashout.T+GasWashout.T+GASABS.aT.sT)/HEIGHT.aT)*AREAFRAC.sT</f>
        <v>3.5005982807590561</v>
      </c>
      <c r="Q953" s="451">
        <f>((DRYDEPaerosol.T+AerosolWashout.T+GasWashout.T+GASABS.aT.sT)/HEIGHT.aT)*AREAFRAC.sT</f>
        <v>3.5005982807590561</v>
      </c>
      <c r="R953" s="451">
        <f>((DRYDEPaerosol.T+AerosolWashout.T+GasWashout.T+GASABS.aT.sT)/HEIGHT.aT)*AREAFRAC.sT</f>
        <v>3.5005982807590561</v>
      </c>
      <c r="S953" s="452"/>
      <c r="T953" s="158"/>
    </row>
    <row r="954" spans="1:20" ht="12.75" customHeight="1" x14ac:dyDescent="0.3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1"/>
      <c r="N954" s="451"/>
      <c r="O954" s="452"/>
      <c r="P954" s="452"/>
      <c r="Q954" s="452"/>
      <c r="R954" s="452"/>
      <c r="S954" s="452"/>
      <c r="T954" s="158"/>
    </row>
    <row r="955" spans="1:20" ht="12.75" customHeight="1" x14ac:dyDescent="0.3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1"/>
      <c r="N955" s="451"/>
      <c r="O955" s="452"/>
      <c r="P955" s="452"/>
      <c r="Q955" s="452"/>
      <c r="R955" s="452"/>
      <c r="S955" s="452"/>
      <c r="T955" s="158"/>
    </row>
    <row r="956" spans="1:20" ht="12.75" customHeight="1" x14ac:dyDescent="0.3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1"/>
      <c r="N956" s="451"/>
      <c r="O956" s="452"/>
      <c r="P956" s="452"/>
      <c r="Q956" s="452"/>
      <c r="R956" s="452"/>
      <c r="S956" s="452"/>
      <c r="T956" s="158"/>
    </row>
    <row r="957" spans="1:20" ht="12.75" customHeight="1" x14ac:dyDescent="0.3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1"/>
      <c r="N957" s="451"/>
      <c r="O957" s="452"/>
      <c r="P957" s="452"/>
      <c r="Q957" s="452"/>
      <c r="R957" s="452"/>
      <c r="S957" s="452"/>
      <c r="T957" s="158"/>
    </row>
    <row r="958" spans="1:20" ht="12.75" customHeight="1" x14ac:dyDescent="0.3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1"/>
      <c r="N958" s="451"/>
      <c r="O958" s="452"/>
      <c r="P958" s="452"/>
      <c r="Q958" s="452"/>
      <c r="R958" s="452"/>
      <c r="S958" s="452"/>
      <c r="T958" s="158"/>
    </row>
    <row r="959" spans="1:20" ht="12.75" customHeight="1" x14ac:dyDescent="0.3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1"/>
      <c r="N959" s="451"/>
      <c r="O959" s="452"/>
      <c r="P959" s="452"/>
      <c r="Q959" s="452"/>
      <c r="R959" s="452"/>
      <c r="S959" s="452"/>
      <c r="T959" s="158"/>
    </row>
    <row r="960" spans="1:20" ht="12.75" customHeight="1" x14ac:dyDescent="0.3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1"/>
      <c r="N960" s="451"/>
      <c r="O960" s="452"/>
      <c r="P960" s="452"/>
      <c r="Q960" s="452"/>
      <c r="R960" s="452"/>
      <c r="S960" s="452"/>
      <c r="T960" s="158"/>
    </row>
    <row r="961" spans="1:20" ht="12.75" customHeight="1" x14ac:dyDescent="0.3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1"/>
      <c r="N961" s="451"/>
      <c r="O961" s="452"/>
      <c r="P961" s="452"/>
      <c r="Q961" s="452"/>
      <c r="R961" s="452"/>
      <c r="S961" s="452"/>
      <c r="T961" s="158"/>
    </row>
    <row r="962" spans="1:20" ht="12.75" customHeight="1" x14ac:dyDescent="0.3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/>
      <c r="M962" s="451"/>
      <c r="N962" s="451">
        <f>AEROSOLdeprate.T*FRaers.aT</f>
        <v>6.6032608684437396E-4</v>
      </c>
      <c r="O962" s="451">
        <f>AEROSOLdeprate.T*FRaers.aT</f>
        <v>6.6032608684437396E-4</v>
      </c>
      <c r="P962" s="451">
        <f>AEROSOLdeprate.T*FRaers.aT</f>
        <v>6.6032608684437396E-4</v>
      </c>
      <c r="Q962" s="451">
        <f>AEROSOLdeprate.T*FRaers.aT</f>
        <v>6.6032608684437396E-4</v>
      </c>
      <c r="R962" s="451">
        <f>AEROSOLdeprate.T*FRaers.aT</f>
        <v>6.6032608684437396E-4</v>
      </c>
      <c r="S962" s="452"/>
      <c r="T962" s="158"/>
    </row>
    <row r="963" spans="1:20" ht="12.75" customHeight="1" x14ac:dyDescent="0.3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/>
      <c r="M963" s="451"/>
      <c r="N963" s="451">
        <f t="shared" ref="N963:R963" si="29">(1-FRgas.aT)*COLLECTeff.T*RAINrate.T</f>
        <v>8.2445459143785649E-3</v>
      </c>
      <c r="O963" s="452">
        <f t="shared" si="29"/>
        <v>8.2445459143785649E-3</v>
      </c>
      <c r="P963" s="452">
        <f t="shared" si="29"/>
        <v>8.2445459143785649E-3</v>
      </c>
      <c r="Q963" s="452">
        <f t="shared" si="29"/>
        <v>8.2445459143785649E-3</v>
      </c>
      <c r="R963" s="452">
        <f t="shared" si="29"/>
        <v>8.2445459143785649E-3</v>
      </c>
      <c r="S963" s="452"/>
      <c r="T963" s="158"/>
    </row>
    <row r="964" spans="1:20" ht="12.75" customHeight="1" x14ac:dyDescent="0.3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/>
      <c r="M964" s="451"/>
      <c r="N964" s="451">
        <f t="shared" ref="N964:R964" si="30">FRgas.aT*RAINrate.T/Kaw.T</f>
        <v>700.11415206306867</v>
      </c>
      <c r="O964" s="452">
        <f t="shared" si="30"/>
        <v>700.11415206306867</v>
      </c>
      <c r="P964" s="452">
        <f t="shared" si="30"/>
        <v>700.11415206306867</v>
      </c>
      <c r="Q964" s="452">
        <f t="shared" si="30"/>
        <v>700.11415206306867</v>
      </c>
      <c r="R964" s="452">
        <f t="shared" si="30"/>
        <v>700.11415206306867</v>
      </c>
      <c r="S964" s="452"/>
      <c r="T964" s="158"/>
    </row>
    <row r="965" spans="1:20" ht="12.75" customHeight="1" x14ac:dyDescent="0.3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1"/>
      <c r="N965" s="451"/>
      <c r="O965" s="452"/>
      <c r="P965" s="452"/>
      <c r="Q965" s="452"/>
      <c r="R965" s="452"/>
      <c r="S965" s="452"/>
      <c r="T965" s="158"/>
    </row>
    <row r="966" spans="1:20" ht="12.75" customHeight="1" x14ac:dyDescent="0.3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1"/>
      <c r="N966" s="451"/>
      <c r="O966" s="452"/>
      <c r="P966" s="452"/>
      <c r="Q966" s="452"/>
      <c r="R966" s="452"/>
      <c r="S966" s="452"/>
      <c r="T966" s="158"/>
    </row>
    <row r="967" spans="1:20" ht="12.75" customHeight="1" x14ac:dyDescent="0.3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1"/>
      <c r="N967" s="451"/>
      <c r="O967" s="452"/>
      <c r="P967" s="452"/>
      <c r="Q967" s="452"/>
      <c r="R967" s="452"/>
      <c r="S967" s="452"/>
      <c r="T967" s="158"/>
    </row>
    <row r="968" spans="1:20" ht="12.75" customHeight="1" x14ac:dyDescent="0.3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1"/>
      <c r="N968" s="451"/>
      <c r="O968" s="452"/>
      <c r="P968" s="452"/>
      <c r="Q968" s="452"/>
      <c r="R968" s="452"/>
      <c r="S968" s="452"/>
      <c r="T968" s="158"/>
    </row>
    <row r="969" spans="1:20" ht="12.75" customHeight="1" x14ac:dyDescent="0.3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1"/>
      <c r="N969" s="451"/>
      <c r="O969" s="452"/>
      <c r="P969" s="452"/>
      <c r="Q969" s="452"/>
      <c r="R969" s="452"/>
      <c r="S969" s="452"/>
      <c r="T969" s="158"/>
    </row>
    <row r="970" spans="1:20" ht="12.75" customHeight="1" x14ac:dyDescent="0.3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1"/>
      <c r="N970" s="451"/>
      <c r="O970" s="452"/>
      <c r="P970" s="452"/>
      <c r="Q970" s="452"/>
      <c r="R970" s="452"/>
      <c r="S970" s="452"/>
      <c r="T970" s="158"/>
    </row>
    <row r="971" spans="1:20" ht="12.75" customHeight="1" x14ac:dyDescent="0.3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1"/>
      <c r="N971" s="451"/>
      <c r="O971" s="452"/>
      <c r="P971" s="452"/>
      <c r="Q971" s="452"/>
      <c r="R971" s="452"/>
      <c r="S971" s="452"/>
      <c r="T971" s="158"/>
    </row>
    <row r="972" spans="1:20" ht="12.75" customHeight="1" x14ac:dyDescent="0.3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1"/>
      <c r="N972" s="451"/>
      <c r="O972" s="452"/>
      <c r="P972" s="452"/>
      <c r="Q972" s="452"/>
      <c r="R972" s="452"/>
      <c r="S972" s="452"/>
      <c r="T972" s="158"/>
    </row>
    <row r="973" spans="1:20" ht="12.75" customHeight="1" x14ac:dyDescent="0.3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1"/>
      <c r="N973" s="451"/>
      <c r="O973" s="452"/>
      <c r="P973" s="452"/>
      <c r="Q973" s="452"/>
      <c r="R973" s="452"/>
      <c r="S973" s="452"/>
      <c r="T973" s="158"/>
    </row>
    <row r="974" spans="1:20" ht="12.75" customHeight="1" x14ac:dyDescent="0.3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1"/>
      <c r="N974" s="451"/>
      <c r="O974" s="452"/>
      <c r="P974" s="452"/>
      <c r="Q974" s="452"/>
      <c r="R974" s="452"/>
      <c r="S974" s="452"/>
      <c r="T974" s="158"/>
    </row>
    <row r="975" spans="1:20" ht="12.75" customHeight="1" x14ac:dyDescent="0.3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1"/>
      <c r="N975" s="451"/>
      <c r="O975" s="452"/>
      <c r="P975" s="452"/>
      <c r="Q975" s="452"/>
      <c r="R975" s="452"/>
      <c r="S975" s="452"/>
      <c r="T975" s="158"/>
    </row>
    <row r="976" spans="1:20" ht="12.75" customHeight="1" x14ac:dyDescent="0.3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/>
      <c r="M976" s="451"/>
      <c r="N976" s="451">
        <v>2.5308522804345867E-8</v>
      </c>
      <c r="O976" s="452">
        <v>2.5308522804345867E-8</v>
      </c>
      <c r="P976" s="452">
        <v>2.5308522804345867E-8</v>
      </c>
      <c r="Q976" s="452">
        <v>2.5308522804345867E-8</v>
      </c>
      <c r="R976" s="452"/>
      <c r="S976" s="452">
        <v>2.5308522804345867E-8</v>
      </c>
      <c r="T976" s="158"/>
    </row>
    <row r="977" spans="1:20" ht="12.75" customHeight="1" x14ac:dyDescent="0.3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/>
      <c r="M977" s="451"/>
      <c r="N977" s="451">
        <v>1</v>
      </c>
      <c r="O977" s="452">
        <v>1</v>
      </c>
      <c r="P977" s="452">
        <v>1</v>
      </c>
      <c r="Q977" s="452">
        <v>1</v>
      </c>
      <c r="R977" s="452"/>
      <c r="S977" s="452">
        <v>1</v>
      </c>
      <c r="T977" s="158"/>
    </row>
    <row r="978" spans="1:20" ht="12.75" customHeight="1" x14ac:dyDescent="0.3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59"/>
      <c r="N978" s="459"/>
      <c r="O978" s="460"/>
      <c r="P978" s="460"/>
      <c r="Q978" s="460"/>
      <c r="R978" s="460"/>
      <c r="S978" s="460"/>
      <c r="T978" s="158"/>
    </row>
    <row r="979" spans="1:20" ht="12.75" customHeight="1" x14ac:dyDescent="0.3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1"/>
      <c r="N979" s="451"/>
      <c r="O979" s="452"/>
      <c r="P979" s="452"/>
      <c r="Q979" s="452"/>
      <c r="R979" s="452"/>
      <c r="S979" s="452"/>
      <c r="T979" s="158"/>
    </row>
    <row r="980" spans="1:20" ht="12.75" customHeight="1" x14ac:dyDescent="0.3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1"/>
      <c r="N980" s="451"/>
      <c r="O980" s="452"/>
      <c r="P980" s="452"/>
      <c r="Q980" s="452"/>
      <c r="R980" s="452"/>
      <c r="S980" s="452"/>
      <c r="T980" s="158"/>
    </row>
    <row r="981" spans="1:20" ht="12.75" customHeight="1" x14ac:dyDescent="0.3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1"/>
      <c r="N981" s="451"/>
      <c r="O981" s="452"/>
      <c r="P981" s="452"/>
      <c r="Q981" s="452"/>
      <c r="R981" s="452"/>
      <c r="S981" s="452"/>
      <c r="T981" s="158"/>
    </row>
    <row r="982" spans="1:20" ht="12.75" customHeight="1" x14ac:dyDescent="0.3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1"/>
      <c r="N982" s="451"/>
      <c r="O982" s="452"/>
      <c r="P982" s="452"/>
      <c r="Q982" s="452"/>
      <c r="R982" s="452"/>
      <c r="S982" s="452"/>
      <c r="T982" s="158"/>
    </row>
    <row r="983" spans="1:20" ht="12.75" customHeight="1" x14ac:dyDescent="0.3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1"/>
      <c r="N983" s="451"/>
      <c r="O983" s="452"/>
      <c r="P983" s="452"/>
      <c r="Q983" s="452"/>
      <c r="R983" s="452"/>
      <c r="S983" s="452"/>
      <c r="T983" s="158"/>
    </row>
    <row r="984" spans="1:20" ht="12.75" customHeight="1" x14ac:dyDescent="0.3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1"/>
      <c r="N984" s="451"/>
      <c r="O984" s="452"/>
      <c r="P984" s="452"/>
      <c r="Q984" s="452"/>
      <c r="R984" s="452"/>
      <c r="S984" s="452"/>
      <c r="T984" s="158"/>
    </row>
    <row r="985" spans="1:20" ht="12.75" customHeight="1" x14ac:dyDescent="0.3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1"/>
      <c r="N985" s="451"/>
      <c r="O985" s="452"/>
      <c r="P985" s="452"/>
      <c r="Q985" s="452"/>
      <c r="R985" s="452"/>
      <c r="S985" s="452"/>
      <c r="T985" s="158"/>
    </row>
    <row r="986" spans="1:20" ht="12.75" customHeight="1" x14ac:dyDescent="0.3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1"/>
      <c r="N986" s="451"/>
      <c r="O986" s="452"/>
      <c r="P986" s="452"/>
      <c r="Q986" s="452"/>
      <c r="R986" s="452"/>
      <c r="S986" s="452"/>
      <c r="T986" s="158"/>
    </row>
    <row r="987" spans="1:20" ht="12.75" customHeight="1" x14ac:dyDescent="0.3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1"/>
      <c r="N987" s="451"/>
      <c r="O987" s="452"/>
      <c r="P987" s="452"/>
      <c r="Q987" s="452"/>
      <c r="R987" s="452"/>
      <c r="S987" s="452"/>
      <c r="T987" s="158"/>
    </row>
    <row r="988" spans="1:20" ht="12.75" customHeight="1" x14ac:dyDescent="0.3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1"/>
      <c r="N988" s="451"/>
      <c r="O988" s="452"/>
      <c r="P988" s="452"/>
      <c r="Q988" s="452"/>
      <c r="R988" s="452"/>
      <c r="S988" s="452"/>
      <c r="T988" s="158"/>
    </row>
    <row r="989" spans="1:20" ht="12.75" customHeight="1" x14ac:dyDescent="0.3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1"/>
      <c r="N989" s="451"/>
      <c r="O989" s="452"/>
      <c r="P989" s="452"/>
      <c r="Q989" s="452"/>
      <c r="R989" s="452"/>
      <c r="S989" s="452"/>
      <c r="T989" s="158"/>
    </row>
    <row r="990" spans="1:20" ht="12.75" customHeight="1" x14ac:dyDescent="0.3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1"/>
      <c r="N990" s="451"/>
      <c r="O990" s="452"/>
      <c r="P990" s="452"/>
      <c r="Q990" s="452"/>
      <c r="R990" s="452"/>
      <c r="S990" s="452"/>
      <c r="T990" s="158"/>
    </row>
    <row r="991" spans="1:20" ht="12.75" customHeight="1" x14ac:dyDescent="0.3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59"/>
      <c r="N991" s="459"/>
      <c r="O991" s="460"/>
      <c r="P991" s="460"/>
      <c r="Q991" s="460"/>
      <c r="R991" s="460"/>
      <c r="S991" s="460"/>
      <c r="T991" s="158"/>
    </row>
    <row r="992" spans="1:20" ht="12.75" customHeight="1" x14ac:dyDescent="0.3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1"/>
      <c r="N992" s="451"/>
      <c r="O992" s="452"/>
      <c r="P992" s="452"/>
      <c r="Q992" s="452"/>
      <c r="R992" s="452"/>
      <c r="S992" s="452"/>
      <c r="T992" s="158"/>
    </row>
    <row r="993" spans="1:20" ht="12.75" customHeight="1" x14ac:dyDescent="0.3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1"/>
      <c r="N993" s="451"/>
      <c r="O993" s="452"/>
      <c r="P993" s="452"/>
      <c r="Q993" s="452"/>
      <c r="R993" s="452"/>
      <c r="S993" s="452"/>
      <c r="T993" s="158"/>
    </row>
    <row r="994" spans="1:20" ht="12.75" customHeight="1" x14ac:dyDescent="0.3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1"/>
      <c r="N994" s="451"/>
      <c r="O994" s="452"/>
      <c r="P994" s="452"/>
      <c r="Q994" s="452"/>
      <c r="R994" s="452"/>
      <c r="S994" s="452"/>
      <c r="T994" s="158"/>
    </row>
    <row r="995" spans="1:20" ht="12.75" customHeight="1" x14ac:dyDescent="0.3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/>
      <c r="M995" s="451"/>
      <c r="N995" s="451">
        <v>1</v>
      </c>
      <c r="O995" s="452">
        <v>1</v>
      </c>
      <c r="P995" s="452">
        <v>1</v>
      </c>
      <c r="Q995" s="452">
        <v>1</v>
      </c>
      <c r="R995" s="452"/>
      <c r="S995" s="452">
        <v>1</v>
      </c>
      <c r="T995" s="158"/>
    </row>
    <row r="996" spans="1:20" ht="12.75" customHeight="1" x14ac:dyDescent="0.3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339"/>
      <c r="N996" s="339"/>
      <c r="O996" s="282"/>
      <c r="P996" s="282"/>
      <c r="Q996" s="282"/>
      <c r="R996" s="282"/>
      <c r="S996" s="282"/>
      <c r="T996" s="158"/>
    </row>
    <row r="997" spans="1:20" ht="12.75" customHeight="1" x14ac:dyDescent="0.3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 t="s">
        <v>754</v>
      </c>
      <c r="M997" s="364"/>
      <c r="N997" s="364"/>
      <c r="O997" s="470"/>
      <c r="P997" s="470"/>
      <c r="Q997" s="470"/>
      <c r="R997" s="470"/>
      <c r="S997" s="470"/>
      <c r="T997" s="158"/>
    </row>
    <row r="998" spans="1:20" ht="12.75" customHeight="1" x14ac:dyDescent="0.3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339"/>
      <c r="N998" s="339"/>
      <c r="O998" s="282"/>
      <c r="P998" s="282"/>
      <c r="Q998" s="282"/>
      <c r="R998" s="282"/>
      <c r="S998" s="282"/>
      <c r="T998" s="158"/>
    </row>
    <row r="999" spans="1:20" ht="12.75" customHeight="1" x14ac:dyDescent="0.3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1"/>
      <c r="N999" s="451"/>
      <c r="O999" s="452"/>
      <c r="P999" s="452"/>
      <c r="Q999" s="452"/>
      <c r="R999" s="452"/>
      <c r="S999" s="452"/>
      <c r="T999" s="158"/>
    </row>
    <row r="1000" spans="1:20" ht="12.75" customHeight="1" x14ac:dyDescent="0.3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1"/>
      <c r="N1000" s="451"/>
      <c r="O1000" s="452"/>
      <c r="P1000" s="452"/>
      <c r="Q1000" s="452"/>
      <c r="R1000" s="452"/>
      <c r="S1000" s="452"/>
      <c r="T1000" s="158"/>
    </row>
    <row r="1001" spans="1:20" ht="12.75" customHeight="1" x14ac:dyDescent="0.3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1"/>
      <c r="N1001" s="451"/>
      <c r="O1001" s="452"/>
      <c r="P1001" s="452"/>
      <c r="Q1001" s="452"/>
      <c r="R1001" s="452"/>
      <c r="S1001" s="452"/>
      <c r="T1001" s="158"/>
    </row>
    <row r="1002" spans="1:20" ht="12.75" customHeight="1" x14ac:dyDescent="0.3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1"/>
      <c r="N1002" s="451"/>
      <c r="O1002" s="452"/>
      <c r="P1002" s="452"/>
      <c r="Q1002" s="452"/>
      <c r="R1002" s="452"/>
      <c r="S1002" s="452"/>
      <c r="T1002" s="158"/>
    </row>
    <row r="1003" spans="1:20" ht="12.75" customHeight="1" x14ac:dyDescent="0.3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1"/>
      <c r="N1003" s="451"/>
      <c r="O1003" s="452"/>
      <c r="P1003" s="452"/>
      <c r="Q1003" s="452"/>
      <c r="R1003" s="452"/>
      <c r="S1003" s="452"/>
      <c r="T1003" s="158"/>
    </row>
    <row r="1004" spans="1:20" ht="12.75" customHeight="1" x14ac:dyDescent="0.3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1"/>
      <c r="N1004" s="451"/>
      <c r="O1004" s="452"/>
      <c r="P1004" s="452"/>
      <c r="Q1004" s="452"/>
      <c r="R1004" s="452"/>
      <c r="S1004" s="452"/>
      <c r="T1004" s="158"/>
    </row>
    <row r="1005" spans="1:20" ht="12.75" customHeight="1" x14ac:dyDescent="0.3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1"/>
      <c r="N1005" s="451"/>
      <c r="O1005" s="452"/>
      <c r="P1005" s="452"/>
      <c r="Q1005" s="452"/>
      <c r="R1005" s="452"/>
      <c r="S1005" s="452"/>
      <c r="T1005" s="158"/>
    </row>
    <row r="1006" spans="1:20" ht="12.75" customHeight="1" x14ac:dyDescent="0.3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1"/>
      <c r="N1006" s="451"/>
      <c r="O1006" s="452"/>
      <c r="P1006" s="452"/>
      <c r="Q1006" s="452"/>
      <c r="R1006" s="452"/>
      <c r="S1006" s="452"/>
      <c r="T1006" s="158"/>
    </row>
    <row r="1007" spans="1:20" ht="12.75" customHeight="1" x14ac:dyDescent="0.3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1"/>
      <c r="N1007" s="451"/>
      <c r="O1007" s="452"/>
      <c r="P1007" s="452"/>
      <c r="Q1007" s="452"/>
      <c r="R1007" s="452"/>
      <c r="S1007" s="452"/>
      <c r="T1007" s="158"/>
    </row>
    <row r="1008" spans="1:20" ht="12.75" customHeight="1" x14ac:dyDescent="0.3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1"/>
      <c r="N1008" s="451"/>
      <c r="O1008" s="452"/>
      <c r="P1008" s="452"/>
      <c r="Q1008" s="452"/>
      <c r="R1008" s="452"/>
      <c r="S1008" s="452"/>
      <c r="T1008" s="158"/>
    </row>
    <row r="1009" spans="1:20" ht="12.75" customHeight="1" x14ac:dyDescent="0.3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1"/>
      <c r="N1009" s="451"/>
      <c r="O1009" s="452"/>
      <c r="P1009" s="452"/>
      <c r="Q1009" s="452"/>
      <c r="R1009" s="452"/>
      <c r="S1009" s="452"/>
      <c r="T1009" s="158"/>
    </row>
    <row r="1010" spans="1:20" ht="12.75" customHeight="1" x14ac:dyDescent="0.3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1"/>
      <c r="N1010" s="451"/>
      <c r="O1010" s="452"/>
      <c r="P1010" s="452"/>
      <c r="Q1010" s="452"/>
      <c r="R1010" s="452"/>
      <c r="S1010" s="452"/>
      <c r="T1010" s="158"/>
    </row>
    <row r="1011" spans="1:20" ht="12.75" customHeight="1" x14ac:dyDescent="0.3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1"/>
      <c r="N1011" s="451"/>
      <c r="O1011" s="452"/>
      <c r="P1011" s="452"/>
      <c r="Q1011" s="452"/>
      <c r="R1011" s="452"/>
      <c r="S1011" s="452"/>
      <c r="T1011" s="158"/>
    </row>
    <row r="1012" spans="1:20" ht="12.75" customHeight="1" x14ac:dyDescent="0.3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1"/>
      <c r="N1012" s="451"/>
      <c r="O1012" s="452"/>
      <c r="P1012" s="452"/>
      <c r="Q1012" s="452"/>
      <c r="R1012" s="452"/>
      <c r="S1012" s="452"/>
      <c r="T1012" s="158"/>
    </row>
    <row r="1013" spans="1:20" ht="12.75" customHeight="1" x14ac:dyDescent="0.3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1"/>
      <c r="N1013" s="451"/>
      <c r="O1013" s="452"/>
      <c r="P1013" s="452"/>
      <c r="Q1013" s="452"/>
      <c r="R1013" s="452"/>
      <c r="S1013" s="452"/>
      <c r="T1013" s="158"/>
    </row>
    <row r="1014" spans="1:20" ht="12.75" customHeight="1" x14ac:dyDescent="0.3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1"/>
      <c r="N1014" s="451"/>
      <c r="O1014" s="452"/>
      <c r="P1014" s="452"/>
      <c r="Q1014" s="452"/>
      <c r="R1014" s="452"/>
      <c r="S1014" s="452"/>
      <c r="T1014" s="158"/>
    </row>
    <row r="1015" spans="1:20" ht="12.75" customHeight="1" x14ac:dyDescent="0.3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1"/>
      <c r="N1015" s="451"/>
      <c r="O1015" s="452"/>
      <c r="P1015" s="452"/>
      <c r="Q1015" s="452"/>
      <c r="R1015" s="452"/>
      <c r="S1015" s="452"/>
      <c r="T1015" s="158"/>
    </row>
    <row r="1016" spans="1:20" ht="12.75" customHeight="1" x14ac:dyDescent="0.3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/>
      <c r="M1016" s="451"/>
      <c r="N1016" s="451">
        <v>1</v>
      </c>
      <c r="O1016" s="452">
        <v>1</v>
      </c>
      <c r="P1016" s="452">
        <v>1</v>
      </c>
      <c r="Q1016" s="452">
        <v>1</v>
      </c>
      <c r="R1016" s="452"/>
      <c r="S1016" s="452">
        <v>1</v>
      </c>
      <c r="T1016" s="158"/>
    </row>
    <row r="1017" spans="1:20" ht="12.75" customHeight="1" thickBot="1" x14ac:dyDescent="0.3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474"/>
      <c r="N1017" s="474"/>
      <c r="O1017" s="362"/>
      <c r="P1017" s="362"/>
      <c r="Q1017" s="362"/>
      <c r="R1017" s="362"/>
      <c r="S1017" s="362"/>
      <c r="T1017" s="158"/>
    </row>
    <row r="1018" spans="1:20" ht="12.75" customHeight="1" x14ac:dyDescent="0.3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42"/>
      <c r="N1018" s="342"/>
      <c r="O1018" s="360"/>
      <c r="P1018" s="360"/>
      <c r="Q1018" s="360"/>
      <c r="R1018" s="360"/>
      <c r="S1018" s="360"/>
      <c r="T1018" s="158"/>
    </row>
  </sheetData>
  <phoneticPr fontId="5" type="noConversion"/>
  <conditionalFormatting sqref="J341:S341">
    <cfRule type="cellIs" dxfId="152" priority="73" operator="equal">
      <formula>0</formula>
    </cfRule>
  </conditionalFormatting>
  <conditionalFormatting sqref="J343:S343">
    <cfRule type="cellIs" dxfId="151" priority="72" operator="equal">
      <formula>0</formula>
    </cfRule>
  </conditionalFormatting>
  <conditionalFormatting sqref="J517:S520">
    <cfRule type="cellIs" dxfId="150" priority="68" operator="equal">
      <formula>0</formula>
    </cfRule>
  </conditionalFormatting>
  <conditionalFormatting sqref="J532:S532">
    <cfRule type="cellIs" dxfId="149" priority="67" operator="equal">
      <formula>0</formula>
    </cfRule>
  </conditionalFormatting>
  <conditionalFormatting sqref="J535:S535">
    <cfRule type="cellIs" dxfId="148" priority="66" operator="equal">
      <formula>0</formula>
    </cfRule>
  </conditionalFormatting>
  <conditionalFormatting sqref="J538:S538">
    <cfRule type="cellIs" dxfId="147" priority="65" operator="equal">
      <formula>0</formula>
    </cfRule>
  </conditionalFormatting>
  <conditionalFormatting sqref="N703:Q703 S703">
    <cfRule type="cellIs" dxfId="146" priority="58" operator="equal">
      <formula>0</formula>
    </cfRule>
  </conditionalFormatting>
  <conditionalFormatting sqref="N839:S839">
    <cfRule type="cellIs" dxfId="145" priority="55" operator="equal">
      <formula>0</formula>
    </cfRule>
  </conditionalFormatting>
  <conditionalFormatting sqref="N975:S975">
    <cfRule type="cellIs" dxfId="144" priority="52" operator="equal">
      <formula>0</formula>
    </cfRule>
  </conditionalFormatting>
  <conditionalFormatting sqref="N493:R498">
    <cfRule type="cellIs" dxfId="143" priority="49" operator="equal">
      <formula>0</formula>
    </cfRule>
  </conditionalFormatting>
  <conditionalFormatting sqref="O493:R498">
    <cfRule type="cellIs" dxfId="142" priority="48" operator="equal">
      <formula>0</formula>
    </cfRule>
  </conditionalFormatting>
  <conditionalFormatting sqref="O493:R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357" customWidth="1"/>
    <col min="10" max="10" width="9.109375" style="432" customWidth="1"/>
    <col min="11" max="11" width="9.5546875" style="644" customWidth="1"/>
    <col min="12" max="12" width="14" style="644" customWidth="1"/>
    <col min="13" max="13" width="9.109375" customWidth="1"/>
    <col min="14" max="14" width="79.88671875" style="79" customWidth="1"/>
    <col min="15" max="15" width="2.6640625" customWidth="1"/>
  </cols>
  <sheetData>
    <row r="1" spans="1:15" ht="12.75" customHeight="1" x14ac:dyDescent="0.3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3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3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3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3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3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3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3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3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3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3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3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3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3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3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3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3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3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3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3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3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3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1.0959261276255461E-10</v>
      </c>
      <c r="L60" s="636">
        <f t="shared" ref="L60:L65" si="2">IF(ISBLANK(I60),IF(ISNUMBER(J60)=FALSE,K60,J60),I60)</f>
        <v>1.0959261276255461E-10</v>
      </c>
      <c r="M60" s="36" t="s">
        <v>486</v>
      </c>
      <c r="N60" s="36"/>
      <c r="O60" s="36"/>
    </row>
    <row r="61" spans="1:15" ht="12.75" customHeight="1" x14ac:dyDescent="0.3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0.57390410415704873</v>
      </c>
      <c r="L61" s="636">
        <f t="shared" si="2"/>
        <v>0.57390410415704873</v>
      </c>
      <c r="M61" s="36" t="s">
        <v>486</v>
      </c>
      <c r="N61" s="36" t="s">
        <v>2185</v>
      </c>
      <c r="O61" s="36"/>
    </row>
    <row r="62" spans="1:15" ht="12.75" customHeight="1" x14ac:dyDescent="0.3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0.42609589573335865</v>
      </c>
      <c r="L62" s="636">
        <f t="shared" si="2"/>
        <v>0.42609589573335865</v>
      </c>
      <c r="M62" s="36" t="s">
        <v>486</v>
      </c>
      <c r="N62" s="36" t="s">
        <v>2185</v>
      </c>
      <c r="O62" s="36"/>
    </row>
    <row r="63" spans="1:15" ht="12.75" customHeight="1" x14ac:dyDescent="0.3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3.8191943560330707E-21</v>
      </c>
      <c r="L63" s="636">
        <f t="shared" si="2"/>
        <v>3.8191943560330707E-21</v>
      </c>
      <c r="M63" s="36" t="s">
        <v>486</v>
      </c>
      <c r="N63" s="36"/>
      <c r="O63" s="36"/>
    </row>
    <row r="64" spans="1:15" ht="12.75" customHeight="1" x14ac:dyDescent="0.3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2.6183532619132853E+20</v>
      </c>
      <c r="L64" s="636">
        <f t="shared" si="2"/>
        <v>2.6183532619132853E+20</v>
      </c>
      <c r="M64" s="36" t="s">
        <v>486</v>
      </c>
      <c r="N64" s="36"/>
      <c r="O64" s="36"/>
    </row>
    <row r="65" spans="1:15" ht="12.75" customHeight="1" x14ac:dyDescent="0.3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1.944E+20</v>
      </c>
      <c r="L65" s="636">
        <f t="shared" si="2"/>
        <v>1.944E+20</v>
      </c>
      <c r="M65" s="36" t="s">
        <v>486</v>
      </c>
      <c r="N65" s="36" t="s">
        <v>924</v>
      </c>
      <c r="O65" s="36"/>
    </row>
    <row r="66" spans="1:15" ht="12.75" customHeight="1" x14ac:dyDescent="0.3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0.99750480158911303</v>
      </c>
      <c r="L66" s="636">
        <f>IF(ISBLANK(I66),IF(ISNUMBER(J66)=FALSE,K66,J66),I66)</f>
        <v>0.99750480158911303</v>
      </c>
      <c r="M66" s="36" t="s">
        <v>486</v>
      </c>
      <c r="N66" s="36"/>
      <c r="O66" s="36"/>
    </row>
    <row r="67" spans="1:15" ht="12.75" customHeight="1" x14ac:dyDescent="0.3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5000</v>
      </c>
      <c r="L67" s="636">
        <f>IF(ISBLANK(I67),IF(ISNUMBER(J67)=FALSE,K67,J67),I67)</f>
        <v>5000</v>
      </c>
      <c r="M67" s="36" t="s">
        <v>1498</v>
      </c>
      <c r="N67" s="36"/>
      <c r="O67" s="36"/>
    </row>
    <row r="68" spans="1:15" ht="12.75" customHeight="1" x14ac:dyDescent="0.3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3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3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1.44</v>
      </c>
      <c r="L70" s="636">
        <f>IF(ISBLANK(I70),IF(ISNUMBER(J70)=FALSE,K70,J70),I70)</f>
        <v>1.44</v>
      </c>
      <c r="M70" s="36" t="s">
        <v>1498</v>
      </c>
      <c r="N70" s="36"/>
      <c r="O70" s="36"/>
    </row>
    <row r="71" spans="1:15" ht="12.75" customHeight="1" x14ac:dyDescent="0.3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3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0.93023131206224252</v>
      </c>
      <c r="L72" s="636">
        <f t="shared" ref="L72:L104" si="3">IF(ISBLANK(I72),IF(ISNUMBER(J72)=FALSE,K72,J72),I72)</f>
        <v>0.93023131206224252</v>
      </c>
      <c r="M72" s="36" t="s">
        <v>486</v>
      </c>
      <c r="N72" s="36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5000</v>
      </c>
      <c r="L73" s="636">
        <f t="shared" si="3"/>
        <v>5000</v>
      </c>
      <c r="M73" s="36" t="s">
        <v>1498</v>
      </c>
      <c r="N73" s="36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1.44</v>
      </c>
      <c r="L76" s="636">
        <f t="shared" si="3"/>
        <v>1.44</v>
      </c>
      <c r="M76" s="36" t="s">
        <v>1498</v>
      </c>
      <c r="N76" s="36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3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0.97560838548675621</v>
      </c>
      <c r="L78" s="636">
        <f t="shared" si="3"/>
        <v>0.97560838548675621</v>
      </c>
      <c r="M78" s="36" t="s">
        <v>486</v>
      </c>
      <c r="N78" s="36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5000</v>
      </c>
      <c r="L79" s="636">
        <f t="shared" si="3"/>
        <v>5000</v>
      </c>
      <c r="M79" s="36" t="s">
        <v>1498</v>
      </c>
      <c r="N79" s="36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3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1.44</v>
      </c>
      <c r="L82" s="636">
        <f t="shared" si="3"/>
        <v>1.44</v>
      </c>
      <c r="M82" s="36" t="s">
        <v>1498</v>
      </c>
      <c r="N82" s="36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3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1250.7999999999997</v>
      </c>
      <c r="L84" s="636">
        <f t="shared" si="3"/>
        <v>1250.7999999999997</v>
      </c>
      <c r="M84" s="36" t="s">
        <v>486</v>
      </c>
      <c r="N84" s="36"/>
      <c r="O84" s="36"/>
    </row>
    <row r="85" spans="1:15" ht="12.75" customHeight="1" x14ac:dyDescent="0.3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2500</v>
      </c>
      <c r="L85" s="636">
        <f t="shared" si="3"/>
        <v>2500</v>
      </c>
      <c r="M85" s="36" t="s">
        <v>1498</v>
      </c>
      <c r="N85" s="36"/>
      <c r="O85" s="36"/>
    </row>
    <row r="86" spans="1:15" ht="12.75" customHeight="1" x14ac:dyDescent="0.3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3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1250.7999999999997</v>
      </c>
      <c r="L87" s="636">
        <f t="shared" si="3"/>
        <v>1250.7999999999997</v>
      </c>
      <c r="M87" s="29" t="s">
        <v>486</v>
      </c>
      <c r="N87" s="36"/>
      <c r="O87" s="36"/>
    </row>
    <row r="88" spans="1:15" ht="12.75" customHeight="1" x14ac:dyDescent="0.3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2500</v>
      </c>
      <c r="L88" s="636">
        <f t="shared" si="3"/>
        <v>2500</v>
      </c>
      <c r="M88" s="36" t="s">
        <v>1498</v>
      </c>
      <c r="N88" s="36"/>
      <c r="O88" s="36"/>
    </row>
    <row r="89" spans="1:15" ht="12.75" customHeight="1" x14ac:dyDescent="0.3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3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1500.2000000000003</v>
      </c>
      <c r="L90" s="636">
        <f t="shared" si="3"/>
        <v>1500.2000000000003</v>
      </c>
      <c r="M90" s="29" t="s">
        <v>486</v>
      </c>
      <c r="N90" s="36"/>
      <c r="O90" s="36"/>
    </row>
    <row r="91" spans="1:15" ht="12.75" customHeight="1" x14ac:dyDescent="0.3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1.3331555792560991E-4</v>
      </c>
      <c r="L91" s="636">
        <f t="shared" si="3"/>
        <v>1.3331555792560991E-4</v>
      </c>
      <c r="M91" s="29"/>
      <c r="N91" s="36"/>
      <c r="O91" s="36"/>
    </row>
    <row r="92" spans="1:15" ht="12.75" customHeight="1" x14ac:dyDescent="0.3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0.99986668444207449</v>
      </c>
      <c r="L92" s="636">
        <f t="shared" si="3"/>
        <v>0.99986668444207449</v>
      </c>
      <c r="M92" s="29"/>
      <c r="N92" s="36"/>
      <c r="O92" s="36"/>
    </row>
    <row r="93" spans="1:15" ht="12.75" customHeight="1" x14ac:dyDescent="0.3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1000</v>
      </c>
      <c r="L93" s="636">
        <f t="shared" si="3"/>
        <v>1000</v>
      </c>
      <c r="M93" s="36" t="s">
        <v>1498</v>
      </c>
      <c r="N93" s="36"/>
      <c r="O93" s="36"/>
    </row>
    <row r="94" spans="1:15" ht="12.75" customHeight="1" x14ac:dyDescent="0.3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3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1500.2000000000003</v>
      </c>
      <c r="L95" s="636">
        <f t="shared" si="3"/>
        <v>1500.2000000000003</v>
      </c>
      <c r="M95" s="29" t="s">
        <v>486</v>
      </c>
      <c r="N95" s="36"/>
      <c r="O95" s="36"/>
    </row>
    <row r="96" spans="1:15" ht="12.75" customHeight="1" x14ac:dyDescent="0.3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1.3331555792560991E-4</v>
      </c>
      <c r="L96" s="636">
        <f t="shared" si="3"/>
        <v>1.3331555792560991E-4</v>
      </c>
      <c r="M96" s="29" t="s">
        <v>486</v>
      </c>
      <c r="N96" s="36"/>
      <c r="O96" s="36"/>
    </row>
    <row r="97" spans="1:15" ht="12.75" customHeight="1" x14ac:dyDescent="0.3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0.99986668444207449</v>
      </c>
      <c r="L97" s="636">
        <f t="shared" si="3"/>
        <v>0.99986668444207449</v>
      </c>
      <c r="M97" s="5" t="s">
        <v>486</v>
      </c>
      <c r="N97" s="36"/>
      <c r="O97" s="36"/>
    </row>
    <row r="98" spans="1:15" ht="12.75" customHeight="1" x14ac:dyDescent="0.3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1000</v>
      </c>
      <c r="L98" s="636">
        <f t="shared" si="3"/>
        <v>1000</v>
      </c>
      <c r="M98" s="36" t="s">
        <v>1498</v>
      </c>
      <c r="N98" s="36"/>
      <c r="O98" s="36"/>
    </row>
    <row r="99" spans="1:15" ht="12.75" customHeight="1" x14ac:dyDescent="0.3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3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1500.2000000000003</v>
      </c>
      <c r="L100" s="636">
        <f t="shared" si="3"/>
        <v>1500.2000000000003</v>
      </c>
      <c r="M100" s="29" t="s">
        <v>486</v>
      </c>
      <c r="N100" s="36"/>
      <c r="O100" s="36"/>
    </row>
    <row r="101" spans="1:15" ht="12.75" customHeight="1" x14ac:dyDescent="0.3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1.3331555792560991E-4</v>
      </c>
      <c r="L101" s="636">
        <f t="shared" si="3"/>
        <v>1.3331555792560991E-4</v>
      </c>
      <c r="M101" s="29" t="s">
        <v>486</v>
      </c>
      <c r="N101" s="36"/>
      <c r="O101" s="36"/>
    </row>
    <row r="102" spans="1:15" ht="12.75" customHeight="1" x14ac:dyDescent="0.3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0.99986668444207449</v>
      </c>
      <c r="L102" s="636">
        <f t="shared" si="3"/>
        <v>0.99986668444207449</v>
      </c>
      <c r="M102" s="5" t="s">
        <v>486</v>
      </c>
      <c r="N102" s="36"/>
      <c r="O102" s="36"/>
    </row>
    <row r="103" spans="1:15" ht="12.75" customHeight="1" x14ac:dyDescent="0.3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1000</v>
      </c>
      <c r="L103" s="636">
        <f t="shared" si="3"/>
        <v>1000</v>
      </c>
      <c r="M103" s="36" t="s">
        <v>1498</v>
      </c>
      <c r="N103" s="36"/>
      <c r="O103" s="36"/>
    </row>
    <row r="104" spans="1:15" ht="12.75" customHeight="1" x14ac:dyDescent="0.3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3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3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3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1.7089765072772757E-8</v>
      </c>
      <c r="L108" s="636">
        <f>IF(ISBLANK(I108),IF(ISNUMBER(J108)=FALSE,K108,J108),I108)</f>
        <v>1.7089765072772757E-8</v>
      </c>
      <c r="M108" s="29" t="s">
        <v>1488</v>
      </c>
      <c r="N108" s="325"/>
      <c r="O108" s="36"/>
    </row>
    <row r="109" spans="1:15" ht="12.75" customHeight="1" x14ac:dyDescent="0.3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1.8798741580050034E-7</v>
      </c>
      <c r="L109" s="636">
        <f t="shared" ref="L109:L137" si="4">IF(ISBLANK(I109),IF(ISNUMBER(J109)=FALSE,K109,J109),I109)</f>
        <v>1.8798741580050034E-7</v>
      </c>
      <c r="M109" s="29" t="s">
        <v>1488</v>
      </c>
      <c r="N109" s="325"/>
      <c r="O109" s="36"/>
    </row>
    <row r="110" spans="1:15" ht="12.75" customHeight="1" x14ac:dyDescent="0.3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2.9907275797826093E-8</v>
      </c>
      <c r="L110" s="636">
        <f t="shared" si="4"/>
        <v>2.9907275797826093E-8</v>
      </c>
      <c r="M110" s="29" t="s">
        <v>1488</v>
      </c>
      <c r="N110" s="325"/>
      <c r="O110" s="36"/>
    </row>
    <row r="111" spans="1:15" ht="12.75" customHeight="1" x14ac:dyDescent="0.3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1.8456946277505723E-6</v>
      </c>
      <c r="L111" s="636">
        <f t="shared" si="4"/>
        <v>1.8456946277505723E-6</v>
      </c>
      <c r="M111" s="29" t="s">
        <v>1488</v>
      </c>
      <c r="N111" s="325"/>
      <c r="O111" s="36"/>
    </row>
    <row r="112" spans="1:15" ht="12.75" customHeight="1" x14ac:dyDescent="0.3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4.1015436172234928E-6</v>
      </c>
      <c r="L112" s="636">
        <f t="shared" si="4"/>
        <v>4.1015436172234928E-6</v>
      </c>
      <c r="M112" s="29" t="s">
        <v>1488</v>
      </c>
      <c r="N112" s="325"/>
      <c r="O112" s="36"/>
    </row>
    <row r="113" spans="1:15" ht="12.75" customHeight="1" x14ac:dyDescent="0.3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6.8359060287058217E-7</v>
      </c>
      <c r="L113" s="636">
        <f t="shared" si="4"/>
        <v>6.8359060287058217E-7</v>
      </c>
      <c r="M113" s="29" t="s">
        <v>1488</v>
      </c>
      <c r="N113" s="325"/>
      <c r="O113" s="36"/>
    </row>
    <row r="114" spans="1:15" ht="12.75" customHeight="1" x14ac:dyDescent="0.3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1.8071803644175064E-25</v>
      </c>
      <c r="L114" s="636">
        <f>IF(ISBLANK(I114),IF(ISNUMBER(J114)=FALSE,K114,J114),I114)</f>
        <v>1.8071803644175064E-25</v>
      </c>
      <c r="M114" s="29" t="s">
        <v>1488</v>
      </c>
      <c r="N114" s="325"/>
      <c r="O114" s="36"/>
    </row>
    <row r="115" spans="1:15" ht="12.75" customHeight="1" x14ac:dyDescent="0.3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5.6176697390230937E-24</v>
      </c>
      <c r="L115" s="636">
        <f t="shared" si="4"/>
        <v>5.6176697390230937E-24</v>
      </c>
      <c r="M115" s="29" t="s">
        <v>1488</v>
      </c>
      <c r="N115" s="325"/>
      <c r="O115" s="36"/>
    </row>
    <row r="116" spans="1:15" ht="12.75" customHeight="1" x14ac:dyDescent="0.3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1.7675106072712202E-24</v>
      </c>
      <c r="L116" s="636">
        <f t="shared" si="4"/>
        <v>1.7675106072712202E-24</v>
      </c>
      <c r="M116" s="29" t="s">
        <v>1488</v>
      </c>
      <c r="N116" s="325"/>
      <c r="O116" s="36"/>
    </row>
    <row r="117" spans="1:15" ht="12.75" customHeight="1" x14ac:dyDescent="0.3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6.7790674133494165E-26</v>
      </c>
      <c r="L117" s="636">
        <f t="shared" si="4"/>
        <v>6.7790674133494165E-26</v>
      </c>
      <c r="M117" s="29" t="s">
        <v>1488</v>
      </c>
      <c r="N117" s="325"/>
      <c r="O117" s="36"/>
    </row>
    <row r="118" spans="1:15" ht="12.75" customHeight="1" x14ac:dyDescent="0.3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3.0848433284968799E-26</v>
      </c>
      <c r="L118" s="636">
        <f t="shared" si="4"/>
        <v>3.0848433284968799E-26</v>
      </c>
      <c r="M118" s="29" t="s">
        <v>1488</v>
      </c>
      <c r="N118" s="325"/>
      <c r="O118" s="36"/>
    </row>
    <row r="119" spans="1:15" ht="12.75" customHeight="1" x14ac:dyDescent="0.3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6.7790674133494165E-26</v>
      </c>
      <c r="L119" s="636">
        <f t="shared" si="4"/>
        <v>6.7790674133494165E-26</v>
      </c>
      <c r="M119" s="29" t="s">
        <v>1488</v>
      </c>
      <c r="N119" s="325"/>
      <c r="O119" s="36"/>
    </row>
    <row r="120" spans="1:15" ht="12.75" customHeight="1" x14ac:dyDescent="0.3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6.865813304387058E-6</v>
      </c>
      <c r="L120" s="636">
        <f t="shared" si="4"/>
        <v>6.865813304387058E-6</v>
      </c>
      <c r="M120" s="29" t="s">
        <v>1488</v>
      </c>
      <c r="N120" s="325"/>
      <c r="O120" s="36"/>
    </row>
    <row r="121" spans="1:15" ht="12.75" customHeight="1" x14ac:dyDescent="0.3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1.6285956044164883E-5</v>
      </c>
      <c r="L121" s="636">
        <f t="shared" si="4"/>
        <v>1.6285956044164883E-5</v>
      </c>
      <c r="M121" s="29" t="s">
        <v>1488</v>
      </c>
      <c r="N121" s="325"/>
      <c r="O121" s="36"/>
    </row>
    <row r="122" spans="1:15" ht="12.75" customHeight="1" x14ac:dyDescent="0.3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1.0420142739668233E-5</v>
      </c>
      <c r="L122" s="636">
        <f t="shared" si="4"/>
        <v>1.0420142739668233E-5</v>
      </c>
      <c r="M122" s="29" t="s">
        <v>1488</v>
      </c>
      <c r="N122" s="325"/>
      <c r="O122" s="36"/>
    </row>
    <row r="123" spans="1:15" ht="12.75" customHeight="1" x14ac:dyDescent="0.3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10.615767025744704</v>
      </c>
      <c r="L123" s="636">
        <f t="shared" si="4"/>
        <v>10.615767025744704</v>
      </c>
      <c r="M123" s="29" t="s">
        <v>1488</v>
      </c>
      <c r="N123" s="325"/>
      <c r="O123" s="36"/>
    </row>
    <row r="124" spans="1:15" ht="12.75" customHeight="1" x14ac:dyDescent="0.3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3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3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9.9999999989040756E-4</v>
      </c>
      <c r="L126" s="636">
        <f t="shared" si="4"/>
        <v>9.9999999989040756E-4</v>
      </c>
      <c r="M126" s="29" t="s">
        <v>1490</v>
      </c>
      <c r="N126" s="325"/>
      <c r="O126" s="36"/>
    </row>
    <row r="127" spans="1:15" ht="12.75" customHeight="1" x14ac:dyDescent="0.3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3.152662851062818E-2</v>
      </c>
      <c r="L127" s="636">
        <f t="shared" si="4"/>
        <v>3.152662851062818E-2</v>
      </c>
      <c r="M127" s="29" t="s">
        <v>1490</v>
      </c>
      <c r="N127" s="325"/>
      <c r="O127" s="36"/>
    </row>
    <row r="128" spans="1:15" ht="12.75" customHeight="1" x14ac:dyDescent="0.3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10615.726078973454</v>
      </c>
      <c r="L128" s="636">
        <f t="shared" si="4"/>
        <v>10615.726078973454</v>
      </c>
      <c r="M128" s="29" t="s">
        <v>1490</v>
      </c>
      <c r="N128" s="325"/>
      <c r="O128" s="36"/>
    </row>
    <row r="129" spans="1:15" ht="12.75" customHeight="1" x14ac:dyDescent="0.3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3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3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5.1987151897085809E-13</v>
      </c>
      <c r="L131" s="636">
        <f t="shared" ref="L131:L134" si="5">IF(ISBLANK(I131),IF(ISNUMBER(J131)=FALSE,K131,J131),I131)</f>
        <v>5.1987151897085809E-13</v>
      </c>
      <c r="M131" s="36" t="s">
        <v>4047</v>
      </c>
      <c r="N131" s="325"/>
      <c r="O131" s="36"/>
    </row>
    <row r="132" spans="1:15" ht="12.75" customHeight="1" x14ac:dyDescent="0.3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1.1482581379516648E-13</v>
      </c>
      <c r="L132" s="636">
        <f t="shared" si="5"/>
        <v>1.1482581379516648E-13</v>
      </c>
      <c r="M132" s="36" t="s">
        <v>4047</v>
      </c>
      <c r="N132" s="325"/>
      <c r="O132" s="36"/>
    </row>
    <row r="133" spans="1:15" ht="12.75" customHeight="1" x14ac:dyDescent="0.3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1.8071803644175064E-23</v>
      </c>
      <c r="L133" s="636">
        <f t="shared" si="5"/>
        <v>1.8071803644175064E-23</v>
      </c>
      <c r="M133" s="36" t="s">
        <v>4047</v>
      </c>
      <c r="N133" s="325"/>
      <c r="O133" s="36"/>
    </row>
    <row r="134" spans="1:15" ht="12.75" customHeight="1" x14ac:dyDescent="0.3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1.6853009217069281E-23</v>
      </c>
      <c r="L134" s="636">
        <f t="shared" si="5"/>
        <v>1.6853009217069281E-23</v>
      </c>
      <c r="M134" s="36" t="s">
        <v>4047</v>
      </c>
      <c r="N134" s="325"/>
      <c r="O134" s="36"/>
    </row>
    <row r="135" spans="1:15" ht="12.75" customHeight="1" x14ac:dyDescent="0.3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1.7675106072712202E-23</v>
      </c>
      <c r="L135" s="636">
        <f t="shared" si="4"/>
        <v>1.7675106072712202E-23</v>
      </c>
      <c r="M135" s="36" t="s">
        <v>4047</v>
      </c>
      <c r="N135" s="325"/>
      <c r="O135" s="36"/>
    </row>
    <row r="136" spans="1:15" ht="12.75" customHeight="1" x14ac:dyDescent="0.3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4.7436730073880193E-3</v>
      </c>
      <c r="L136" s="636">
        <f t="shared" si="4"/>
        <v>4.7436730073880193E-3</v>
      </c>
      <c r="M136" s="29" t="s">
        <v>1490</v>
      </c>
      <c r="N136" s="325"/>
      <c r="O136" s="36"/>
    </row>
    <row r="137" spans="1:15" ht="12.75" customHeight="1" x14ac:dyDescent="0.3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5.4415788550341428E-6</v>
      </c>
      <c r="L137" s="636">
        <f t="shared" si="4"/>
        <v>5.4415788550341428E-6</v>
      </c>
      <c r="M137" s="29" t="s">
        <v>1490</v>
      </c>
      <c r="N137" s="325"/>
      <c r="O137" s="36"/>
    </row>
    <row r="138" spans="1:15" ht="12.75" customHeight="1" x14ac:dyDescent="0.3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3.3895337066747085E-27</v>
      </c>
      <c r="L138" s="636">
        <f t="shared" ref="L138:L145" si="6">IF(ISBLANK(I138),IF(ISNUMBER(J138)=FALSE,K138,J138),I138)</f>
        <v>3.3895337066747085E-27</v>
      </c>
      <c r="M138" s="36" t="s">
        <v>4047</v>
      </c>
      <c r="N138" s="325"/>
      <c r="O138" s="36"/>
    </row>
    <row r="139" spans="1:15" ht="12.75" customHeight="1" x14ac:dyDescent="0.3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6.1696866569937601E-27</v>
      </c>
      <c r="L139" s="636">
        <f t="shared" si="6"/>
        <v>6.1696866569937601E-27</v>
      </c>
      <c r="M139" s="36" t="s">
        <v>4047</v>
      </c>
      <c r="N139" s="325"/>
      <c r="O139" s="36"/>
    </row>
    <row r="140" spans="1:15" ht="12.75" customHeight="1" x14ac:dyDescent="0.3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3.3895337066747085E-27</v>
      </c>
      <c r="L140" s="636">
        <f t="shared" si="6"/>
        <v>3.3895337066747085E-27</v>
      </c>
      <c r="M140" s="36" t="s">
        <v>4047</v>
      </c>
      <c r="N140" s="325"/>
      <c r="O140" s="36"/>
    </row>
    <row r="141" spans="1:15" ht="12.75" customHeight="1" x14ac:dyDescent="0.3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3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4.0612619817811774E-22</v>
      </c>
      <c r="L142" s="636">
        <f t="shared" si="6"/>
        <v>4.0612619817811774E-22</v>
      </c>
      <c r="M142" s="29" t="s">
        <v>1490</v>
      </c>
      <c r="N142" s="325"/>
      <c r="O142" s="36"/>
    </row>
    <row r="143" spans="1:15" ht="12.75" customHeight="1" x14ac:dyDescent="0.3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3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3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3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3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6.814519572645419E-7</v>
      </c>
      <c r="L147" s="636">
        <f t="shared" ref="L147:L167" si="7">IF(ISBLANK(I147),IF(ISNUMBER(J147)=FALSE,K147,J147),I147)</f>
        <v>6.814519572645419E-7</v>
      </c>
      <c r="M147" s="29" t="s">
        <v>1488</v>
      </c>
      <c r="N147" s="642"/>
      <c r="O147" s="36"/>
    </row>
    <row r="148" spans="1:15" ht="12.75" customHeight="1" x14ac:dyDescent="0.3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7.32609943251728E-8</v>
      </c>
      <c r="L148" s="636">
        <f t="shared" si="7"/>
        <v>7.32609943251728E-8</v>
      </c>
      <c r="M148" s="29" t="s">
        <v>1488</v>
      </c>
      <c r="N148" s="36"/>
      <c r="O148" s="36"/>
    </row>
    <row r="149" spans="1:15" ht="12.75" customHeight="1" x14ac:dyDescent="0.3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2.6772813157749081E-8</v>
      </c>
      <c r="L149" s="636">
        <f t="shared" si="7"/>
        <v>2.6772813157749081E-8</v>
      </c>
      <c r="M149" s="29" t="s">
        <v>1488</v>
      </c>
      <c r="N149" s="36"/>
      <c r="O149" s="36"/>
    </row>
    <row r="150" spans="1:15" ht="12.75" customHeight="1" x14ac:dyDescent="0.3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8.2647246240098567E-9</v>
      </c>
      <c r="L150" s="636">
        <f t="shared" si="7"/>
        <v>8.2647246240098567E-9</v>
      </c>
      <c r="M150" s="29" t="s">
        <v>1488</v>
      </c>
      <c r="N150" s="36"/>
      <c r="O150" s="36"/>
    </row>
    <row r="151" spans="1:15" ht="12.75" customHeight="1" x14ac:dyDescent="0.3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2.0187699056064087E-6</v>
      </c>
      <c r="L151" s="636">
        <f t="shared" si="7"/>
        <v>2.0187699056064087E-6</v>
      </c>
      <c r="M151" s="36" t="s">
        <v>4047</v>
      </c>
      <c r="N151" s="325"/>
      <c r="O151" s="36"/>
    </row>
    <row r="152" spans="1:15" ht="12.75" customHeight="1" x14ac:dyDescent="0.3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3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7.0577588290635961E-7</v>
      </c>
      <c r="L153" s="636">
        <f t="shared" si="7"/>
        <v>7.0577588290635961E-7</v>
      </c>
      <c r="M153" s="36" t="s">
        <v>4047</v>
      </c>
      <c r="N153" s="325"/>
      <c r="O153" s="36"/>
    </row>
    <row r="154" spans="1:15" ht="12.75" customHeight="1" x14ac:dyDescent="0.3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3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3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3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3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3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3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3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3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2.558596618721693E-8</v>
      </c>
      <c r="L162" s="636">
        <f t="shared" si="7"/>
        <v>2.558596618721693E-8</v>
      </c>
      <c r="M162" s="36" t="s">
        <v>4047</v>
      </c>
      <c r="N162" s="36"/>
      <c r="O162" s="36"/>
    </row>
    <row r="163" spans="1:15" ht="12.75" customHeight="1" x14ac:dyDescent="0.3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2.1989886868443808E-11</v>
      </c>
      <c r="L163" s="636">
        <f t="shared" si="7"/>
        <v>2.1989886868443808E-11</v>
      </c>
      <c r="M163" s="36" t="s">
        <v>4047</v>
      </c>
      <c r="N163" s="36"/>
      <c r="O163" s="36"/>
    </row>
    <row r="164" spans="1:15" ht="12.75" customHeight="1" x14ac:dyDescent="0.3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2.6834060345368406E-8</v>
      </c>
      <c r="L164" s="636">
        <f t="shared" si="7"/>
        <v>2.6834060345368406E-8</v>
      </c>
      <c r="M164" s="36" t="s">
        <v>4047</v>
      </c>
      <c r="N164" s="36"/>
      <c r="O164" s="36"/>
    </row>
    <row r="165" spans="1:15" ht="12.75" customHeight="1" x14ac:dyDescent="0.3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2.1989886868443808E-11</v>
      </c>
      <c r="L165" s="636">
        <f t="shared" si="7"/>
        <v>2.1989886868443808E-11</v>
      </c>
      <c r="M165" s="36" t="s">
        <v>4047</v>
      </c>
      <c r="N165" s="36"/>
      <c r="O165" s="36"/>
    </row>
    <row r="166" spans="1:15" ht="12.75" customHeight="1" x14ac:dyDescent="0.3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3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3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3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1.0833762208073512E-10</v>
      </c>
      <c r="L169" s="636">
        <f t="shared" ref="L169:L183" si="8">IF(ISBLANK(I169),IF(ISNUMBER(J169)=FALSE,K169,J169),I169)</f>
        <v>1.0833762208073512E-10</v>
      </c>
      <c r="M169" s="29" t="s">
        <v>1488</v>
      </c>
      <c r="N169" s="36"/>
      <c r="O169" s="36"/>
    </row>
    <row r="170" spans="1:15" ht="12.75" customHeight="1" x14ac:dyDescent="0.3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4.9299493621032966E-11</v>
      </c>
      <c r="L170" s="636">
        <f t="shared" si="8"/>
        <v>4.9299493621032966E-11</v>
      </c>
      <c r="M170" s="29" t="s">
        <v>1488</v>
      </c>
      <c r="N170" s="36"/>
      <c r="O170" s="36"/>
    </row>
    <row r="171" spans="1:15" ht="12.75" customHeight="1" x14ac:dyDescent="0.3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1.0833762208073512E-10</v>
      </c>
      <c r="L171" s="636">
        <f t="shared" si="8"/>
        <v>1.0833762208073512E-10</v>
      </c>
      <c r="M171" s="29" t="s">
        <v>1488</v>
      </c>
      <c r="N171" s="36"/>
      <c r="O171" s="36"/>
    </row>
    <row r="172" spans="1:15" ht="12.75" customHeight="1" x14ac:dyDescent="0.3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9.8488747346122823E-12</v>
      </c>
      <c r="L172" s="636">
        <f t="shared" si="8"/>
        <v>9.8488747346122823E-12</v>
      </c>
      <c r="M172" s="29" t="s">
        <v>1488</v>
      </c>
      <c r="N172" s="36"/>
      <c r="O172" s="36"/>
    </row>
    <row r="173" spans="1:15" ht="12.75" customHeight="1" x14ac:dyDescent="0.3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4.4817721473666332E-12</v>
      </c>
      <c r="L173" s="636">
        <f t="shared" si="8"/>
        <v>4.4817721473666332E-12</v>
      </c>
      <c r="M173" s="29" t="s">
        <v>1488</v>
      </c>
      <c r="N173" s="36"/>
      <c r="O173" s="36"/>
    </row>
    <row r="174" spans="1:15" ht="12.75" customHeight="1" x14ac:dyDescent="0.3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9.8488747346122823E-12</v>
      </c>
      <c r="L174" s="636">
        <f t="shared" si="8"/>
        <v>9.8488747346122823E-12</v>
      </c>
      <c r="M174" s="29" t="s">
        <v>1488</v>
      </c>
      <c r="N174" s="36"/>
      <c r="O174" s="36"/>
    </row>
    <row r="175" spans="1:15" ht="12.75" customHeight="1" x14ac:dyDescent="0.3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3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3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3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3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3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3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3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3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3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3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3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3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3.663258818281463E-10</v>
      </c>
      <c r="L187" s="636">
        <f t="shared" ref="L187:L211" si="9">IF(ISBLANK(I187),IF(ISNUMBER(J187)=FALSE,K187,J187),I187)</f>
        <v>3.663258818281463E-10</v>
      </c>
      <c r="M187" s="29" t="s">
        <v>1488</v>
      </c>
      <c r="N187" s="36"/>
      <c r="O187" s="36"/>
    </row>
    <row r="188" spans="1:15" ht="12.75" customHeight="1" x14ac:dyDescent="0.3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4.0511283273380411E-21</v>
      </c>
      <c r="L188" s="636">
        <f>IF(ISBLANK(I188),IF(ISNUMBER(J188)=FALSE,K188,J188),I188)</f>
        <v>4.0511283273380411E-21</v>
      </c>
      <c r="M188" s="29" t="s">
        <v>1488</v>
      </c>
      <c r="N188" s="36"/>
      <c r="O188" s="36"/>
    </row>
    <row r="189" spans="1:15" ht="12.75" customHeight="1" x14ac:dyDescent="0.3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3.777913061940808E-21</v>
      </c>
      <c r="L189" s="636">
        <f t="shared" si="9"/>
        <v>3.777913061940808E-21</v>
      </c>
      <c r="M189" s="29" t="s">
        <v>1488</v>
      </c>
      <c r="N189" s="36"/>
      <c r="O189" s="36"/>
    </row>
    <row r="190" spans="1:15" ht="12.75" customHeight="1" x14ac:dyDescent="0.3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3.9622012450842787E-21</v>
      </c>
      <c r="L190" s="636">
        <f t="shared" si="9"/>
        <v>3.9622012450842787E-21</v>
      </c>
      <c r="M190" s="29" t="s">
        <v>1488</v>
      </c>
      <c r="N190" s="36"/>
      <c r="O190" s="36"/>
    </row>
    <row r="191" spans="1:15" ht="12.75" customHeight="1" x14ac:dyDescent="0.3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2.8953682563883001E-9</v>
      </c>
      <c r="L191" s="636">
        <f t="shared" si="9"/>
        <v>2.8953682563883001E-9</v>
      </c>
      <c r="M191" s="29" t="s">
        <v>1488</v>
      </c>
      <c r="N191" s="36"/>
      <c r="O191" s="36"/>
    </row>
    <row r="192" spans="1:15" ht="12.75" customHeight="1" x14ac:dyDescent="0.3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2.1133333333373945E-9</v>
      </c>
      <c r="L192" s="636">
        <f t="shared" si="9"/>
        <v>2.1133333333373945E-9</v>
      </c>
      <c r="M192" s="29" t="s">
        <v>1488</v>
      </c>
      <c r="N192" s="36"/>
      <c r="O192" s="36"/>
    </row>
    <row r="193" spans="1:15" ht="12.75" customHeight="1" x14ac:dyDescent="0.3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6.3343050832543649E-13</v>
      </c>
      <c r="L193" s="636">
        <f t="shared" si="9"/>
        <v>6.3343050832543649E-13</v>
      </c>
      <c r="M193" s="29" t="s">
        <v>1488</v>
      </c>
      <c r="N193" s="36"/>
      <c r="O193" s="36"/>
    </row>
    <row r="194" spans="1:15" ht="12.75" customHeight="1" x14ac:dyDescent="0.3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2.88245236922916E-13</v>
      </c>
      <c r="L194" s="636">
        <f t="shared" si="9"/>
        <v>2.88245236922916E-13</v>
      </c>
      <c r="M194" s="29" t="s">
        <v>1488</v>
      </c>
      <c r="N194" s="36"/>
      <c r="O194" s="36"/>
    </row>
    <row r="195" spans="1:15" ht="12.75" customHeight="1" x14ac:dyDescent="0.3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6.3343050832543649E-13</v>
      </c>
      <c r="L195" s="636">
        <f t="shared" si="9"/>
        <v>6.3343050832543649E-13</v>
      </c>
      <c r="M195" s="29" t="s">
        <v>1488</v>
      </c>
      <c r="N195" s="36"/>
      <c r="O195" s="36"/>
    </row>
    <row r="196" spans="1:15" ht="12.75" customHeight="1" x14ac:dyDescent="0.3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3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9.8605221309046349E-31</v>
      </c>
      <c r="L197" s="636">
        <f t="shared" si="9"/>
        <v>9.8605221309046349E-31</v>
      </c>
      <c r="M197" s="36" t="s">
        <v>1488</v>
      </c>
      <c r="N197" s="36"/>
      <c r="O197" s="36"/>
    </row>
    <row r="198" spans="1:15" ht="12.75" customHeight="1" x14ac:dyDescent="0.3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3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3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4.0511283273380411E-21</v>
      </c>
      <c r="L200" s="636">
        <f>IF(ISBLANK(I200),IF(ISNUMBER(J200)=FALSE,K200,J200),I200)</f>
        <v>4.0511283273380411E-21</v>
      </c>
      <c r="M200" s="36" t="s">
        <v>1488</v>
      </c>
      <c r="N200" s="36"/>
      <c r="O200" s="36"/>
    </row>
    <row r="201" spans="1:15" ht="12.75" customHeight="1" x14ac:dyDescent="0.3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3.777913061940808E-21</v>
      </c>
      <c r="L201" s="636">
        <f t="shared" si="9"/>
        <v>3.777913061940808E-21</v>
      </c>
      <c r="M201" s="36" t="s">
        <v>1488</v>
      </c>
      <c r="N201" s="36"/>
      <c r="O201" s="36"/>
    </row>
    <row r="202" spans="1:15" ht="12.75" customHeight="1" x14ac:dyDescent="0.3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3.9622012450842787E-21</v>
      </c>
      <c r="L202" s="636">
        <f t="shared" si="9"/>
        <v>3.9622012450842787E-21</v>
      </c>
      <c r="M202" s="36" t="s">
        <v>1488</v>
      </c>
      <c r="N202" s="36"/>
      <c r="O202" s="36"/>
    </row>
    <row r="203" spans="1:15" ht="12.75" customHeight="1" x14ac:dyDescent="0.3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3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3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3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3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4.0612619817811774E-21</v>
      </c>
      <c r="L207" s="636">
        <f t="shared" si="9"/>
        <v>4.0612619817811774E-21</v>
      </c>
      <c r="M207" s="36" t="s">
        <v>1488</v>
      </c>
      <c r="N207" s="36"/>
      <c r="O207" s="36"/>
    </row>
    <row r="208" spans="1:15" ht="12.75" customHeight="1" x14ac:dyDescent="0.3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4.0612619817811774E-21</v>
      </c>
      <c r="L208" s="636">
        <f t="shared" si="9"/>
        <v>4.0612619817811774E-21</v>
      </c>
      <c r="M208" s="36" t="s">
        <v>1488</v>
      </c>
      <c r="N208" s="36"/>
      <c r="O208" s="36"/>
    </row>
    <row r="209" spans="1:15" ht="12.75" customHeight="1" x14ac:dyDescent="0.3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4.0612619817811774E-21</v>
      </c>
      <c r="L209" s="636">
        <f t="shared" si="9"/>
        <v>4.0612619817811774E-21</v>
      </c>
      <c r="M209" s="36" t="s">
        <v>1488</v>
      </c>
      <c r="N209" s="36"/>
      <c r="O209" s="36"/>
    </row>
    <row r="210" spans="1:15" ht="12.75" customHeight="1" x14ac:dyDescent="0.3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4.0612619817811774E-21</v>
      </c>
      <c r="L210" s="636">
        <f t="shared" si="9"/>
        <v>4.0612619817811774E-21</v>
      </c>
      <c r="M210" s="36" t="s">
        <v>1488</v>
      </c>
      <c r="N210" s="36"/>
      <c r="O210" s="36"/>
    </row>
    <row r="211" spans="1:15" ht="12.75" customHeight="1" x14ac:dyDescent="0.3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4.0612619817811774E-21</v>
      </c>
      <c r="L211" s="636">
        <f t="shared" si="9"/>
        <v>4.0612619817811774E-21</v>
      </c>
      <c r="M211" s="36" t="s">
        <v>1488</v>
      </c>
      <c r="N211" s="36"/>
      <c r="O211" s="36"/>
    </row>
    <row r="212" spans="1:15" ht="12.75" customHeight="1" x14ac:dyDescent="0.3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3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3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3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3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3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3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3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abSelected="1" topLeftCell="A139" zoomScaleNormal="100" workbookViewId="0">
      <selection activeCell="K147" sqref="K147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customWidth="1"/>
    <col min="9" max="11" width="9.109375" style="644" customWidth="1"/>
    <col min="12" max="12" width="12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3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3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3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3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3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3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3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3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3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3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3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3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3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3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3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3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3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3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3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3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3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3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3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3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3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3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3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1.0959261276255461E-10</v>
      </c>
      <c r="L66" s="636">
        <f t="shared" ref="L66:L110" si="2">IF(ISBLANK(I66),IF(ISNUMBER(J66)=FALSE,K66,J66),I66)</f>
        <v>1.0959261276255461E-10</v>
      </c>
      <c r="M66" s="20" t="s">
        <v>486</v>
      </c>
      <c r="N66" s="36"/>
      <c r="O66" s="36"/>
    </row>
    <row r="67" spans="1:15" ht="12.75" customHeight="1" x14ac:dyDescent="0.3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0.57390410415704873</v>
      </c>
      <c r="L67" s="636">
        <f t="shared" si="2"/>
        <v>0.57390410415704873</v>
      </c>
      <c r="M67" s="36" t="s">
        <v>486</v>
      </c>
      <c r="N67" s="29" t="s">
        <v>2185</v>
      </c>
      <c r="O67" s="36"/>
    </row>
    <row r="68" spans="1:15" ht="12.75" customHeight="1" x14ac:dyDescent="0.3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0.42609589573335865</v>
      </c>
      <c r="L68" s="636">
        <f t="shared" si="2"/>
        <v>0.42609589573335865</v>
      </c>
      <c r="M68" s="36" t="s">
        <v>486</v>
      </c>
      <c r="N68" s="29" t="s">
        <v>2185</v>
      </c>
      <c r="O68" s="36"/>
    </row>
    <row r="69" spans="1:15" ht="12.75" customHeight="1" x14ac:dyDescent="0.3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3.8191943560330707E-21</v>
      </c>
      <c r="L69" s="636">
        <f t="shared" ref="L69:L71" si="3">IF(ISBLANK(I69),IF(ISNUMBER(J69)=FALSE,K69,J69),I69)</f>
        <v>3.8191943560330707E-21</v>
      </c>
      <c r="M69" s="36" t="s">
        <v>486</v>
      </c>
      <c r="N69" s="29"/>
      <c r="O69" s="36"/>
    </row>
    <row r="70" spans="1:15" ht="12.75" customHeight="1" x14ac:dyDescent="0.3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2.6183532619132853E+20</v>
      </c>
      <c r="L70" s="636">
        <f t="shared" si="3"/>
        <v>2.6183532619132853E+20</v>
      </c>
      <c r="M70" s="36" t="s">
        <v>486</v>
      </c>
      <c r="N70" s="29"/>
      <c r="O70" s="36"/>
    </row>
    <row r="71" spans="1:15" ht="12.75" customHeight="1" x14ac:dyDescent="0.3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1.944E+20</v>
      </c>
      <c r="L71" s="636">
        <f t="shared" si="3"/>
        <v>1.944E+20</v>
      </c>
      <c r="M71" s="36" t="s">
        <v>486</v>
      </c>
      <c r="N71" s="29" t="s">
        <v>924</v>
      </c>
      <c r="O71" s="36"/>
    </row>
    <row r="72" spans="1:15" ht="12.75" customHeight="1" x14ac:dyDescent="0.3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0.99750480158911303</v>
      </c>
      <c r="L72" s="636">
        <f t="shared" si="2"/>
        <v>0.99750480158911303</v>
      </c>
      <c r="M72" s="36" t="s">
        <v>486</v>
      </c>
      <c r="N72" s="29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5000</v>
      </c>
      <c r="L73" s="636">
        <f t="shared" si="2"/>
        <v>5000</v>
      </c>
      <c r="M73" s="36" t="s">
        <v>1498</v>
      </c>
      <c r="N73" s="29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1.44</v>
      </c>
      <c r="L76" s="636">
        <f>IF(ISBLANK(I76),IF(ISNUMBER(J76)=FALSE,K76,J76),I76)</f>
        <v>1.44</v>
      </c>
      <c r="M76" s="36" t="s">
        <v>1498</v>
      </c>
      <c r="N76" s="29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3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0.93023131206224252</v>
      </c>
      <c r="L78" s="646">
        <f t="shared" si="2"/>
        <v>0.93023131206224252</v>
      </c>
      <c r="M78" s="36" t="s">
        <v>486</v>
      </c>
      <c r="N78" s="29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5000</v>
      </c>
      <c r="L79" s="636">
        <f t="shared" si="2"/>
        <v>5000</v>
      </c>
      <c r="M79" s="36" t="s">
        <v>1498</v>
      </c>
      <c r="N79" s="29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3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1.44</v>
      </c>
      <c r="L82" s="636">
        <f t="shared" si="2"/>
        <v>1.44</v>
      </c>
      <c r="M82" s="36" t="s">
        <v>1498</v>
      </c>
      <c r="N82" s="29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3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0.97560838548675621</v>
      </c>
      <c r="L84" s="636">
        <f t="shared" si="2"/>
        <v>0.97560838548675621</v>
      </c>
      <c r="M84" s="36" t="s">
        <v>486</v>
      </c>
      <c r="N84" s="29"/>
      <c r="O84" s="36"/>
    </row>
    <row r="85" spans="1:15" ht="12.75" customHeight="1" x14ac:dyDescent="0.3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5000</v>
      </c>
      <c r="L85" s="636">
        <f t="shared" si="2"/>
        <v>5000</v>
      </c>
      <c r="M85" s="36" t="s">
        <v>1498</v>
      </c>
      <c r="N85" s="29"/>
      <c r="O85" s="36"/>
    </row>
    <row r="86" spans="1:15" ht="12.75" customHeight="1" x14ac:dyDescent="0.3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3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3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1.44</v>
      </c>
      <c r="L88" s="636">
        <f t="shared" si="2"/>
        <v>1.44</v>
      </c>
      <c r="M88" s="36" t="s">
        <v>1498</v>
      </c>
      <c r="N88" s="29"/>
      <c r="O88" s="36"/>
    </row>
    <row r="89" spans="1:15" ht="12.75" customHeight="1" x14ac:dyDescent="0.3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3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1250.7999999999997</v>
      </c>
      <c r="L90" s="636">
        <f t="shared" si="2"/>
        <v>1250.7999999999997</v>
      </c>
      <c r="M90" s="36" t="s">
        <v>486</v>
      </c>
      <c r="N90" s="29"/>
      <c r="O90" s="36"/>
    </row>
    <row r="91" spans="1:15" ht="12.75" customHeight="1" x14ac:dyDescent="0.3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2500</v>
      </c>
      <c r="L91" s="636">
        <f t="shared" si="2"/>
        <v>2500</v>
      </c>
      <c r="M91" s="36" t="s">
        <v>1498</v>
      </c>
      <c r="N91" s="29"/>
      <c r="O91" s="36"/>
    </row>
    <row r="92" spans="1:15" ht="12.75" customHeight="1" x14ac:dyDescent="0.3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3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1250.7999999999997</v>
      </c>
      <c r="L93" s="636">
        <f t="shared" si="2"/>
        <v>1250.7999999999997</v>
      </c>
      <c r="M93" s="29" t="s">
        <v>486</v>
      </c>
      <c r="N93" s="29"/>
      <c r="O93" s="36"/>
    </row>
    <row r="94" spans="1:15" ht="12.75" customHeight="1" x14ac:dyDescent="0.3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2500</v>
      </c>
      <c r="L94" s="636">
        <f t="shared" si="2"/>
        <v>2500</v>
      </c>
      <c r="M94" s="36" t="s">
        <v>1498</v>
      </c>
      <c r="N94" s="29"/>
      <c r="O94" s="36"/>
    </row>
    <row r="95" spans="1:15" ht="12.75" customHeight="1" x14ac:dyDescent="0.3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3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1500.2000000000003</v>
      </c>
      <c r="L96" s="636">
        <f t="shared" si="2"/>
        <v>1500.2000000000003</v>
      </c>
      <c r="M96" s="29" t="s">
        <v>486</v>
      </c>
      <c r="N96" s="29"/>
      <c r="O96" s="36"/>
    </row>
    <row r="97" spans="1:15" ht="12.75" customHeight="1" x14ac:dyDescent="0.3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1.3331555792560991E-4</v>
      </c>
      <c r="L97" s="636">
        <f t="shared" si="2"/>
        <v>1.3331555792560991E-4</v>
      </c>
      <c r="M97" s="29" t="s">
        <v>486</v>
      </c>
      <c r="N97" s="29"/>
      <c r="O97" s="36"/>
    </row>
    <row r="98" spans="1:15" ht="12.75" customHeight="1" x14ac:dyDescent="0.3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0.99986668444207449</v>
      </c>
      <c r="L98" s="636">
        <f t="shared" si="2"/>
        <v>0.99986668444207449</v>
      </c>
      <c r="M98" s="5" t="s">
        <v>486</v>
      </c>
      <c r="N98" s="29"/>
      <c r="O98" s="36"/>
    </row>
    <row r="99" spans="1:15" ht="12.75" customHeight="1" x14ac:dyDescent="0.3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1000</v>
      </c>
      <c r="L99" s="636">
        <f t="shared" si="2"/>
        <v>1000</v>
      </c>
      <c r="M99" s="36" t="s">
        <v>1498</v>
      </c>
      <c r="N99" s="29"/>
      <c r="O99" s="36"/>
    </row>
    <row r="100" spans="1:15" ht="12.75" customHeight="1" x14ac:dyDescent="0.3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3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1500.2000000000003</v>
      </c>
      <c r="L101" s="636">
        <f t="shared" si="2"/>
        <v>1500.2000000000003</v>
      </c>
      <c r="M101" s="29" t="s">
        <v>486</v>
      </c>
      <c r="N101" s="29"/>
      <c r="O101" s="36"/>
    </row>
    <row r="102" spans="1:15" ht="12.75" customHeight="1" x14ac:dyDescent="0.3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1.3331555792560991E-4</v>
      </c>
      <c r="L102" s="636">
        <f t="shared" si="2"/>
        <v>1.3331555792560991E-4</v>
      </c>
      <c r="M102" s="29" t="s">
        <v>486</v>
      </c>
      <c r="N102" s="29"/>
      <c r="O102" s="36"/>
    </row>
    <row r="103" spans="1:15" ht="12.75" customHeight="1" x14ac:dyDescent="0.3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0.99986668444207449</v>
      </c>
      <c r="L103" s="636">
        <f t="shared" si="2"/>
        <v>0.99986668444207449</v>
      </c>
      <c r="M103" s="36" t="s">
        <v>486</v>
      </c>
      <c r="N103" s="29"/>
      <c r="O103" s="36"/>
    </row>
    <row r="104" spans="1:15" ht="12.75" customHeight="1" x14ac:dyDescent="0.3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1000</v>
      </c>
      <c r="L104" s="636">
        <f t="shared" si="2"/>
        <v>1000</v>
      </c>
      <c r="M104" s="36" t="s">
        <v>1498</v>
      </c>
      <c r="N104" s="29"/>
      <c r="O104" s="36"/>
    </row>
    <row r="105" spans="1:15" ht="12.75" customHeight="1" x14ac:dyDescent="0.3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3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1500.2000000000003</v>
      </c>
      <c r="L106" s="636">
        <f t="shared" si="2"/>
        <v>1500.2000000000003</v>
      </c>
      <c r="M106" s="29" t="s">
        <v>486</v>
      </c>
      <c r="N106" s="29"/>
      <c r="O106" s="36"/>
    </row>
    <row r="107" spans="1:15" ht="12.75" customHeight="1" x14ac:dyDescent="0.3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1.3331555792560991E-4</v>
      </c>
      <c r="L107" s="636">
        <f t="shared" si="2"/>
        <v>1.3331555792560991E-4</v>
      </c>
      <c r="M107" s="29" t="s">
        <v>486</v>
      </c>
      <c r="N107" s="29"/>
      <c r="O107" s="36"/>
    </row>
    <row r="108" spans="1:15" ht="12.75" customHeight="1" x14ac:dyDescent="0.3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0.99986668444207449</v>
      </c>
      <c r="L108" s="636">
        <f t="shared" si="2"/>
        <v>0.99986668444207449</v>
      </c>
      <c r="M108" s="36" t="s">
        <v>486</v>
      </c>
      <c r="N108" s="29"/>
      <c r="O108" s="36"/>
    </row>
    <row r="109" spans="1:15" ht="12.75" customHeight="1" x14ac:dyDescent="0.3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1000</v>
      </c>
      <c r="L109" s="636">
        <f t="shared" si="2"/>
        <v>1000</v>
      </c>
      <c r="M109" s="36" t="s">
        <v>1498</v>
      </c>
      <c r="N109" s="29"/>
      <c r="O109" s="36"/>
    </row>
    <row r="110" spans="1:15" ht="12.75" customHeight="1" x14ac:dyDescent="0.3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3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3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3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3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9.4383128407235164E-9</v>
      </c>
      <c r="L114" s="636">
        <f>IF(ISBLANK(I114),IF(ISNUMBER(J114)=FALSE,K114,J114),I114)</f>
        <v>9.4383128407235164E-9</v>
      </c>
      <c r="M114" s="29" t="s">
        <v>1488</v>
      </c>
      <c r="N114" s="29"/>
      <c r="O114" s="36"/>
    </row>
    <row r="115" spans="1:15" ht="12.75" customHeight="1" x14ac:dyDescent="0.3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1.0382144124795866E-7</v>
      </c>
      <c r="L115" s="636">
        <f t="shared" ref="L115:L136" si="4">IF(ISBLANK(I115),IF(ISNUMBER(J115)=FALSE,K115,J115),I115)</f>
        <v>1.0382144124795866E-7</v>
      </c>
      <c r="M115" s="29" t="s">
        <v>1488</v>
      </c>
      <c r="N115" s="29"/>
      <c r="O115" s="36"/>
    </row>
    <row r="116" spans="1:15" ht="12.75" customHeight="1" x14ac:dyDescent="0.3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4.0217939189258379E-6</v>
      </c>
      <c r="L116" s="636">
        <f t="shared" si="4"/>
        <v>4.0217939189258379E-6</v>
      </c>
      <c r="M116" s="29" t="s">
        <v>1488</v>
      </c>
      <c r="N116" s="29"/>
      <c r="O116" s="36"/>
    </row>
    <row r="117" spans="1:15" ht="12.75" customHeight="1" x14ac:dyDescent="0.3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1.0193377867451872E-6</v>
      </c>
      <c r="L117" s="636">
        <f t="shared" si="4"/>
        <v>1.0193377867451872E-6</v>
      </c>
      <c r="M117" s="29" t="s">
        <v>1488</v>
      </c>
      <c r="N117" s="29"/>
      <c r="O117" s="36"/>
    </row>
    <row r="118" spans="1:15" ht="12.75" customHeight="1" x14ac:dyDescent="0.3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2.2651950816559713E-6</v>
      </c>
      <c r="L118" s="636">
        <f t="shared" si="4"/>
        <v>2.2651950816559713E-6</v>
      </c>
      <c r="M118" s="29" t="s">
        <v>1488</v>
      </c>
      <c r="N118" s="29"/>
      <c r="O118" s="36"/>
    </row>
    <row r="119" spans="1:15" ht="12.75" customHeight="1" x14ac:dyDescent="0.3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3.7753251360932848E-7</v>
      </c>
      <c r="L119" s="636">
        <f t="shared" si="4"/>
        <v>3.7753251360932848E-7</v>
      </c>
      <c r="M119" s="29" t="s">
        <v>1488</v>
      </c>
      <c r="N119" s="29"/>
      <c r="O119" s="36"/>
    </row>
    <row r="120" spans="1:15" ht="12.75" customHeight="1" x14ac:dyDescent="0.3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1.8071803644175064E-25</v>
      </c>
      <c r="L120" s="636">
        <f>IF(ISBLANK(I120),IF(ISNUMBER(J120)=FALSE,K120,J120),I120)</f>
        <v>1.8071803644175064E-25</v>
      </c>
      <c r="M120" s="29" t="s">
        <v>1488</v>
      </c>
      <c r="N120" s="29"/>
      <c r="O120" s="36"/>
    </row>
    <row r="121" spans="1:15" ht="12.75" customHeight="1" x14ac:dyDescent="0.3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5.6176697390230937E-24</v>
      </c>
      <c r="L121" s="636">
        <f t="shared" si="4"/>
        <v>5.6176697390230937E-24</v>
      </c>
      <c r="M121" s="29" t="s">
        <v>1488</v>
      </c>
      <c r="N121" s="29"/>
      <c r="O121" s="36"/>
    </row>
    <row r="122" spans="1:15" ht="12.75" customHeight="1" x14ac:dyDescent="0.3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8.8375530363561007E-26</v>
      </c>
      <c r="L122" s="636">
        <f t="shared" si="4"/>
        <v>8.8375530363561007E-26</v>
      </c>
      <c r="M122" s="29" t="s">
        <v>1488</v>
      </c>
      <c r="N122" s="29"/>
      <c r="O122" s="36"/>
    </row>
    <row r="123" spans="1:15" ht="12.75" customHeight="1" x14ac:dyDescent="0.3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6.7790674133494165E-26</v>
      </c>
      <c r="L123" s="636">
        <f t="shared" si="4"/>
        <v>6.7790674133494165E-26</v>
      </c>
      <c r="M123" s="29" t="s">
        <v>1488</v>
      </c>
      <c r="N123" s="29"/>
      <c r="O123" s="36"/>
    </row>
    <row r="124" spans="1:15" ht="12.75" customHeight="1" x14ac:dyDescent="0.3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3.0848433284968799E-26</v>
      </c>
      <c r="L124" s="636">
        <f t="shared" si="4"/>
        <v>3.0848433284968799E-26</v>
      </c>
      <c r="M124" s="29" t="s">
        <v>1488</v>
      </c>
      <c r="N124" s="29"/>
      <c r="O124" s="36"/>
    </row>
    <row r="125" spans="1:15" ht="12.75" customHeight="1" x14ac:dyDescent="0.3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6.7790674133494165E-26</v>
      </c>
      <c r="L125" s="636">
        <f t="shared" si="4"/>
        <v>6.7790674133494165E-26</v>
      </c>
      <c r="M125" s="29" t="s">
        <v>1488</v>
      </c>
      <c r="N125" s="29"/>
      <c r="O125" s="36"/>
    </row>
    <row r="126" spans="1:15" ht="12.75" customHeight="1" x14ac:dyDescent="0.3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7.7971190546953727E-6</v>
      </c>
      <c r="L126" s="636">
        <f t="shared" si="4"/>
        <v>7.7971190546953727E-6</v>
      </c>
      <c r="M126" s="29" t="s">
        <v>1488</v>
      </c>
      <c r="N126" s="29"/>
      <c r="O126" s="36"/>
    </row>
    <row r="127" spans="1:15" ht="12.75" customHeight="1" x14ac:dyDescent="0.3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9.4792950186516016E-6</v>
      </c>
      <c r="L127" s="636">
        <f t="shared" si="4"/>
        <v>9.4792950186516016E-6</v>
      </c>
      <c r="M127" s="29" t="s">
        <v>1488</v>
      </c>
      <c r="N127" s="29"/>
      <c r="O127" s="36"/>
    </row>
    <row r="128" spans="1:15" ht="12.75" customHeight="1" x14ac:dyDescent="0.3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2.682175963846637E-6</v>
      </c>
      <c r="L128" s="636">
        <f t="shared" si="4"/>
        <v>2.682175963846637E-6</v>
      </c>
      <c r="M128" s="29" t="s">
        <v>1488</v>
      </c>
      <c r="N128" s="29"/>
      <c r="O128" s="36"/>
    </row>
    <row r="129" spans="1:15" ht="12.75" customHeight="1" x14ac:dyDescent="0.3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10.615759287777928</v>
      </c>
      <c r="L129" s="636">
        <f t="shared" si="4"/>
        <v>10.615759287777928</v>
      </c>
      <c r="M129" s="29" t="s">
        <v>1488</v>
      </c>
      <c r="N129" s="29"/>
      <c r="O129" s="36"/>
    </row>
    <row r="130" spans="1:15" ht="12.75" customHeight="1" x14ac:dyDescent="0.3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3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3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9.9999999989040756E-4</v>
      </c>
      <c r="L132" s="636">
        <f t="shared" si="4"/>
        <v>9.9999999989040756E-4</v>
      </c>
      <c r="M132" s="29" t="s">
        <v>1490</v>
      </c>
      <c r="N132" s="29"/>
      <c r="O132" s="36"/>
    </row>
    <row r="133" spans="1:15" ht="12.75" customHeight="1" x14ac:dyDescent="0.3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3.152662851062818E-2</v>
      </c>
      <c r="L133" s="636">
        <f t="shared" si="4"/>
        <v>3.152662851062818E-2</v>
      </c>
      <c r="M133" s="29" t="s">
        <v>1490</v>
      </c>
      <c r="N133" s="29"/>
      <c r="O133" s="36"/>
    </row>
    <row r="134" spans="1:15" ht="12.75" customHeight="1" x14ac:dyDescent="0.3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10615.726078973454</v>
      </c>
      <c r="L134" s="636">
        <f t="shared" si="4"/>
        <v>10615.726078973454</v>
      </c>
      <c r="M134" s="29" t="s">
        <v>1490</v>
      </c>
      <c r="N134" s="29"/>
      <c r="O134" s="36"/>
    </row>
    <row r="135" spans="1:15" ht="12.75" customHeight="1" x14ac:dyDescent="0.3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3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5.1987151897085809E-13</v>
      </c>
      <c r="L137" s="636">
        <f t="shared" ref="L137:L151" si="5">IF(ISBLANK(I137),IF(ISNUMBER(J137)=FALSE,K137,J137),I137)</f>
        <v>5.1987151897085809E-13</v>
      </c>
      <c r="M137" s="36" t="s">
        <v>4047</v>
      </c>
      <c r="N137" s="29"/>
      <c r="O137" s="36"/>
    </row>
    <row r="138" spans="1:15" ht="12.75" customHeight="1" x14ac:dyDescent="0.3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1.1482581379516648E-13</v>
      </c>
      <c r="L138" s="636">
        <f t="shared" si="5"/>
        <v>1.1482581379516648E-13</v>
      </c>
      <c r="M138" s="36" t="s">
        <v>4047</v>
      </c>
      <c r="N138" s="29"/>
      <c r="O138" s="36"/>
    </row>
    <row r="139" spans="1:15" ht="12.75" customHeight="1" x14ac:dyDescent="0.3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1.8071803644175064E-23</v>
      </c>
      <c r="L139" s="636">
        <f t="shared" si="5"/>
        <v>1.8071803644175064E-23</v>
      </c>
      <c r="M139" s="36" t="s">
        <v>4047</v>
      </c>
      <c r="N139" s="29"/>
      <c r="O139" s="36"/>
    </row>
    <row r="140" spans="1:15" ht="12.75" customHeight="1" x14ac:dyDescent="0.3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1.6853009217069281E-23</v>
      </c>
      <c r="L140" s="636">
        <f t="shared" si="5"/>
        <v>1.6853009217069281E-23</v>
      </c>
      <c r="M140" s="36" t="s">
        <v>4047</v>
      </c>
      <c r="N140" s="29"/>
      <c r="O140" s="36"/>
    </row>
    <row r="141" spans="1:15" ht="12.75" customHeight="1" x14ac:dyDescent="0.3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1.7675106072712202E-23</v>
      </c>
      <c r="L141" s="636">
        <f t="shared" si="5"/>
        <v>1.7675106072712202E-23</v>
      </c>
      <c r="M141" s="36" t="s">
        <v>4047</v>
      </c>
      <c r="N141" s="29"/>
      <c r="O141" s="36"/>
    </row>
    <row r="142" spans="1:15" ht="12.75" customHeight="1" x14ac:dyDescent="0.3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4.7436730073880193E-3</v>
      </c>
      <c r="L142" s="636">
        <f t="shared" si="5"/>
        <v>4.7436730073880193E-3</v>
      </c>
      <c r="M142" s="29" t="s">
        <v>1490</v>
      </c>
      <c r="N142" s="29"/>
      <c r="O142" s="36"/>
    </row>
    <row r="143" spans="1:15" ht="12.75" customHeight="1" x14ac:dyDescent="0.3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5.4415788550341428E-6</v>
      </c>
      <c r="L143" s="636">
        <f t="shared" si="5"/>
        <v>5.4415788550341428E-6</v>
      </c>
      <c r="M143" s="29" t="s">
        <v>1490</v>
      </c>
      <c r="N143" s="29"/>
      <c r="O143" s="36"/>
    </row>
    <row r="144" spans="1:15" ht="12.75" customHeight="1" x14ac:dyDescent="0.3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3.3895337066747085E-27</v>
      </c>
      <c r="L144" s="636">
        <f t="shared" si="5"/>
        <v>3.3895337066747085E-27</v>
      </c>
      <c r="M144" s="36" t="s">
        <v>4047</v>
      </c>
      <c r="N144" s="128"/>
      <c r="O144" s="36"/>
    </row>
    <row r="145" spans="1:15" ht="12.75" customHeight="1" x14ac:dyDescent="0.3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(L147*L148)/(L147+L148/((L69*FRorig.s2w)/L101))*L150</f>
        <v>6.1696866569937601E-27</v>
      </c>
      <c r="L145" s="636">
        <f t="shared" si="5"/>
        <v>6.1696866569937601E-27</v>
      </c>
      <c r="M145" s="36" t="s">
        <v>4047</v>
      </c>
      <c r="N145" s="29"/>
      <c r="O145" s="36"/>
    </row>
    <row r="146" spans="1:15" ht="12.75" customHeight="1" x14ac:dyDescent="0.3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(L147*L148)/(L147+L148/((L69*FRorig.s3w)/L106))*L151</f>
        <v>3.3895337066747085E-27</v>
      </c>
      <c r="L146" s="636">
        <f t="shared" si="5"/>
        <v>3.3895337066747085E-27</v>
      </c>
      <c r="M146" s="36" t="s">
        <v>4047</v>
      </c>
      <c r="N146" s="29"/>
      <c r="O146" s="36"/>
    </row>
    <row r="147" spans="1:15" ht="12.75" customHeight="1" x14ac:dyDescent="0.3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3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4.0612619817811774E-22</v>
      </c>
      <c r="L148" s="636">
        <f t="shared" si="5"/>
        <v>4.0612619817811774E-22</v>
      </c>
      <c r="M148" s="29" t="s">
        <v>1490</v>
      </c>
      <c r="N148" s="29" t="s">
        <v>1415</v>
      </c>
      <c r="O148" s="36"/>
    </row>
    <row r="149" spans="1:15" ht="12.75" customHeight="1" x14ac:dyDescent="0.3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3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3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3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3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6.814519572645419E-7</v>
      </c>
      <c r="L153" s="636">
        <f t="shared" ref="L153:L173" si="6">IF(ISBLANK(I153),IF(ISNUMBER(J153)=FALSE,K153,J153),I153)</f>
        <v>6.814519572645419E-7</v>
      </c>
      <c r="M153" s="29" t="s">
        <v>1488</v>
      </c>
      <c r="N153" s="29"/>
      <c r="O153" s="36"/>
    </row>
    <row r="154" spans="1:15" ht="12.75" customHeight="1" x14ac:dyDescent="0.3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3.6630497162586398E-9</v>
      </c>
      <c r="L154" s="636">
        <f t="shared" si="6"/>
        <v>3.6630497162586398E-9</v>
      </c>
      <c r="M154" s="29" t="s">
        <v>1488</v>
      </c>
      <c r="N154" s="29"/>
      <c r="O154" s="36"/>
    </row>
    <row r="155" spans="1:15" ht="12.75" customHeight="1" x14ac:dyDescent="0.3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2.6793953018979758E-8</v>
      </c>
      <c r="L155" s="636">
        <f t="shared" si="6"/>
        <v>2.6793953018979758E-8</v>
      </c>
      <c r="M155" s="29" t="s">
        <v>1488</v>
      </c>
      <c r="N155" s="29"/>
      <c r="O155" s="36"/>
    </row>
    <row r="156" spans="1:15" ht="12.75" customHeight="1" x14ac:dyDescent="0.3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9.4637647157566862E-9</v>
      </c>
      <c r="L156" s="636">
        <f t="shared" si="6"/>
        <v>9.4637647157566862E-9</v>
      </c>
      <c r="M156" s="29" t="s">
        <v>1488</v>
      </c>
      <c r="N156" s="29"/>
      <c r="O156" s="36"/>
    </row>
    <row r="157" spans="1:15" ht="12.75" customHeight="1" x14ac:dyDescent="0.3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2.0187699056064087E-6</v>
      </c>
      <c r="L157" s="636">
        <f t="shared" si="6"/>
        <v>2.0187699056064087E-6</v>
      </c>
      <c r="M157" s="36" t="s">
        <v>4047</v>
      </c>
      <c r="N157" s="325"/>
      <c r="O157" s="36"/>
    </row>
    <row r="158" spans="1:15" ht="12.75" customHeight="1" x14ac:dyDescent="0.3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3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7.0577588290635961E-7</v>
      </c>
      <c r="L159" s="636">
        <f t="shared" si="6"/>
        <v>7.0577588290635961E-7</v>
      </c>
      <c r="M159" s="36" t="s">
        <v>4047</v>
      </c>
      <c r="N159" s="325"/>
      <c r="O159" s="36"/>
    </row>
    <row r="160" spans="1:15" ht="12.75" customHeight="1" x14ac:dyDescent="0.3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3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3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3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3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3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3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3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3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2.5585966187216927E-8</v>
      </c>
      <c r="L168" s="636">
        <f t="shared" si="6"/>
        <v>2.5585966187216927E-8</v>
      </c>
      <c r="M168" s="36" t="s">
        <v>4047</v>
      </c>
      <c r="N168" s="29"/>
      <c r="O168" s="36"/>
    </row>
    <row r="169" spans="1:15" ht="12.75" customHeight="1" x14ac:dyDescent="0.3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2.1989886868443805E-11</v>
      </c>
      <c r="L169" s="636">
        <f t="shared" si="6"/>
        <v>2.1989886868443805E-11</v>
      </c>
      <c r="M169" s="36" t="s">
        <v>4047</v>
      </c>
      <c r="N169" s="29"/>
      <c r="O169" s="36"/>
    </row>
    <row r="170" spans="1:15" ht="12.75" customHeight="1" x14ac:dyDescent="0.3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2.6834060345368403E-8</v>
      </c>
      <c r="L170" s="636">
        <f t="shared" si="6"/>
        <v>2.6834060345368403E-8</v>
      </c>
      <c r="M170" s="36" t="s">
        <v>4047</v>
      </c>
      <c r="N170" s="29"/>
      <c r="O170" s="36"/>
    </row>
    <row r="171" spans="1:15" ht="12.75" customHeight="1" x14ac:dyDescent="0.3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2.1989886868443805E-11</v>
      </c>
      <c r="L171" s="636">
        <f t="shared" si="6"/>
        <v>2.1989886868443805E-11</v>
      </c>
      <c r="M171" s="36" t="s">
        <v>4047</v>
      </c>
      <c r="N171" s="29"/>
      <c r="O171" s="36"/>
    </row>
    <row r="172" spans="1:15" ht="12.75" customHeight="1" x14ac:dyDescent="0.3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3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3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3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1.0833762208073512E-10</v>
      </c>
      <c r="L175" s="636">
        <f t="shared" ref="L175:L177" si="7">IF(ISBLANK(I175),IF(ISNUMBER(J175)=FALSE,K175,J175),I175)</f>
        <v>1.0833762208073512E-10</v>
      </c>
      <c r="M175" s="29" t="s">
        <v>1488</v>
      </c>
      <c r="N175" s="29"/>
      <c r="O175" s="36"/>
    </row>
    <row r="176" spans="1:15" ht="12.75" customHeight="1" x14ac:dyDescent="0.3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4.9299493621032966E-11</v>
      </c>
      <c r="L176" s="636">
        <f t="shared" si="7"/>
        <v>4.9299493621032966E-11</v>
      </c>
      <c r="M176" s="29" t="s">
        <v>1488</v>
      </c>
      <c r="N176" s="29"/>
      <c r="O176" s="36"/>
    </row>
    <row r="177" spans="1:15" ht="12.75" customHeight="1" x14ac:dyDescent="0.3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1.0833762208073512E-10</v>
      </c>
      <c r="L177" s="636">
        <f t="shared" si="7"/>
        <v>1.0833762208073512E-10</v>
      </c>
      <c r="M177" s="29" t="s">
        <v>1488</v>
      </c>
      <c r="N177" s="29"/>
      <c r="O177" s="36"/>
    </row>
    <row r="178" spans="1:15" ht="12.75" customHeight="1" x14ac:dyDescent="0.3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9.8488747346122855E-12</v>
      </c>
      <c r="L178" s="636">
        <f t="shared" ref="L178:L180" si="8">IF(ISBLANK(I178),IF(ISNUMBER(J178)=FALSE,K178,J178),I178)</f>
        <v>9.8488747346122855E-12</v>
      </c>
      <c r="M178" s="29" t="s">
        <v>1488</v>
      </c>
      <c r="N178" s="29"/>
      <c r="O178" s="36"/>
    </row>
    <row r="179" spans="1:15" ht="12.75" customHeight="1" x14ac:dyDescent="0.3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4.481772147366634E-12</v>
      </c>
      <c r="L179" s="636">
        <f t="shared" si="8"/>
        <v>4.481772147366634E-12</v>
      </c>
      <c r="M179" s="29" t="s">
        <v>1488</v>
      </c>
      <c r="N179" s="29"/>
      <c r="O179" s="36"/>
    </row>
    <row r="180" spans="1:15" ht="12.75" customHeight="1" x14ac:dyDescent="0.3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9.8488747346122855E-12</v>
      </c>
      <c r="L180" s="636">
        <f t="shared" si="8"/>
        <v>9.8488747346122855E-12</v>
      </c>
      <c r="M180" s="29" t="s">
        <v>1488</v>
      </c>
      <c r="N180" s="29"/>
      <c r="O180" s="36"/>
    </row>
    <row r="181" spans="1:15" ht="12.75" customHeight="1" x14ac:dyDescent="0.3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3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3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3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3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3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3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3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3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3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3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3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3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3.663258818281463E-10</v>
      </c>
      <c r="L193" s="636">
        <f t="shared" ref="L193:L217" si="11">IF(ISBLANK(I193),IF(ISNUMBER(J193)=FALSE,K193,J193),I193)</f>
        <v>3.663258818281463E-10</v>
      </c>
      <c r="M193" s="29" t="s">
        <v>1488</v>
      </c>
      <c r="N193" s="29"/>
      <c r="O193" s="36"/>
    </row>
    <row r="194" spans="1:15" ht="12.75" customHeight="1" x14ac:dyDescent="0.3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4.0511283273380411E-21</v>
      </c>
      <c r="L194" s="636">
        <f>IF(ISBLANK(I194),IF(ISNUMBER(J194)=FALSE,K194,J194),I194)</f>
        <v>4.0511283273380411E-21</v>
      </c>
      <c r="M194" s="29" t="s">
        <v>1488</v>
      </c>
      <c r="N194" s="29"/>
      <c r="O194" s="36"/>
    </row>
    <row r="195" spans="1:15" ht="12.75" customHeight="1" x14ac:dyDescent="0.3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3.777913061940808E-21</v>
      </c>
      <c r="L195" s="636">
        <f t="shared" si="11"/>
        <v>3.777913061940808E-21</v>
      </c>
      <c r="M195" s="29" t="s">
        <v>1488</v>
      </c>
      <c r="N195" s="29"/>
      <c r="O195" s="36"/>
    </row>
    <row r="196" spans="1:15" ht="12.75" customHeight="1" x14ac:dyDescent="0.3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3.9622012450842787E-21</v>
      </c>
      <c r="L196" s="636">
        <f t="shared" si="11"/>
        <v>3.9622012450842787E-21</v>
      </c>
      <c r="M196" s="29" t="s">
        <v>1488</v>
      </c>
      <c r="N196" s="29"/>
      <c r="O196" s="36"/>
    </row>
    <row r="197" spans="1:15" ht="12.75" customHeight="1" x14ac:dyDescent="0.3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2.8742283951576208E-9</v>
      </c>
      <c r="L197" s="636">
        <f t="shared" si="11"/>
        <v>2.8742283951576208E-9</v>
      </c>
      <c r="M197" s="29" t="s">
        <v>1488</v>
      </c>
      <c r="N197" s="29"/>
      <c r="O197" s="36"/>
    </row>
    <row r="198" spans="1:15" ht="12.75" customHeight="1" x14ac:dyDescent="0.3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9.1429324159056473E-10</v>
      </c>
      <c r="L198" s="636">
        <f t="shared" si="11"/>
        <v>9.1429324159056473E-10</v>
      </c>
      <c r="M198" s="29" t="s">
        <v>1488</v>
      </c>
      <c r="N198" s="29"/>
      <c r="O198" s="36"/>
    </row>
    <row r="199" spans="1:15" ht="12.75" customHeight="1" x14ac:dyDescent="0.3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6.3343050832543649E-13</v>
      </c>
      <c r="L199" s="636">
        <f t="shared" si="11"/>
        <v>6.3343050832543649E-13</v>
      </c>
      <c r="M199" s="29" t="s">
        <v>1488</v>
      </c>
      <c r="N199" s="29"/>
      <c r="O199" s="36"/>
    </row>
    <row r="200" spans="1:15" ht="12.75" customHeight="1" x14ac:dyDescent="0.3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2.88245236922916E-13</v>
      </c>
      <c r="L200" s="636">
        <f t="shared" si="11"/>
        <v>2.88245236922916E-13</v>
      </c>
      <c r="M200" s="29" t="s">
        <v>1488</v>
      </c>
      <c r="N200" s="29"/>
      <c r="O200" s="36"/>
    </row>
    <row r="201" spans="1:15" ht="12.75" customHeight="1" x14ac:dyDescent="0.3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6.3343050832543649E-13</v>
      </c>
      <c r="L201" s="636">
        <f t="shared" si="11"/>
        <v>6.3343050832543649E-13</v>
      </c>
      <c r="M201" s="29" t="s">
        <v>1488</v>
      </c>
      <c r="N201" s="29"/>
      <c r="O201" s="36"/>
    </row>
    <row r="202" spans="1:15" ht="12.75" customHeight="1" x14ac:dyDescent="0.3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3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9.8605221309046349E-31</v>
      </c>
      <c r="L203" s="636">
        <f t="shared" si="11"/>
        <v>9.8605221309046349E-31</v>
      </c>
      <c r="M203" s="36" t="s">
        <v>1488</v>
      </c>
      <c r="N203" s="29"/>
      <c r="O203" s="36"/>
    </row>
    <row r="204" spans="1:15" ht="12.75" customHeight="1" x14ac:dyDescent="0.3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3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3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4.0511283273380411E-21</v>
      </c>
      <c r="L206" s="636">
        <f>IF(ISBLANK(I206),IF(ISNUMBER(J206)=FALSE,K206,J206),I206)</f>
        <v>4.0511283273380411E-21</v>
      </c>
      <c r="M206" s="36" t="s">
        <v>1488</v>
      </c>
      <c r="N206" s="29"/>
      <c r="O206" s="36"/>
    </row>
    <row r="207" spans="1:15" ht="12.75" customHeight="1" x14ac:dyDescent="0.3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3.777913061940808E-21</v>
      </c>
      <c r="L207" s="636">
        <f t="shared" si="11"/>
        <v>3.777913061940808E-21</v>
      </c>
      <c r="M207" s="36" t="s">
        <v>1488</v>
      </c>
      <c r="N207" s="29"/>
      <c r="O207" s="36"/>
    </row>
    <row r="208" spans="1:15" ht="12.75" customHeight="1" x14ac:dyDescent="0.3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3.9622012450842787E-21</v>
      </c>
      <c r="L208" s="636">
        <f t="shared" si="11"/>
        <v>3.9622012450842787E-21</v>
      </c>
      <c r="M208" s="36" t="s">
        <v>1488</v>
      </c>
      <c r="N208" s="29"/>
      <c r="O208" s="36"/>
    </row>
    <row r="209" spans="1:15" ht="12.75" customHeight="1" x14ac:dyDescent="0.3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3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3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3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3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4.0612619817811774E-21</v>
      </c>
      <c r="L213" s="636">
        <f t="shared" si="11"/>
        <v>4.0612619817811774E-21</v>
      </c>
      <c r="M213" s="36" t="s">
        <v>1488</v>
      </c>
      <c r="N213" s="29"/>
      <c r="O213" s="36"/>
    </row>
    <row r="214" spans="1:15" ht="12.75" customHeight="1" x14ac:dyDescent="0.3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4.0612619817811774E-21</v>
      </c>
      <c r="L214" s="636">
        <f t="shared" si="11"/>
        <v>4.0612619817811774E-21</v>
      </c>
      <c r="M214" s="36" t="s">
        <v>1488</v>
      </c>
      <c r="N214" s="29"/>
      <c r="O214" s="36"/>
    </row>
    <row r="215" spans="1:15" ht="12.75" customHeight="1" x14ac:dyDescent="0.3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4.0612619817811774E-21</v>
      </c>
      <c r="L215" s="636">
        <f t="shared" si="11"/>
        <v>4.0612619817811774E-21</v>
      </c>
      <c r="M215" s="36" t="s">
        <v>1488</v>
      </c>
      <c r="N215" s="29"/>
      <c r="O215" s="36"/>
    </row>
    <row r="216" spans="1:15" ht="12.75" customHeight="1" x14ac:dyDescent="0.3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4.0612619817811774E-21</v>
      </c>
      <c r="L216" s="636">
        <f t="shared" si="11"/>
        <v>4.0612619817811774E-21</v>
      </c>
      <c r="M216" s="36" t="s">
        <v>1488</v>
      </c>
      <c r="N216" s="29"/>
      <c r="O216" s="36"/>
    </row>
    <row r="217" spans="1:15" ht="12.75" customHeight="1" x14ac:dyDescent="0.3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4.0612619817811774E-21</v>
      </c>
      <c r="L217" s="636">
        <f t="shared" si="11"/>
        <v>4.0612619817811774E-21</v>
      </c>
      <c r="M217" s="36" t="s">
        <v>1488</v>
      </c>
      <c r="N217" s="29"/>
      <c r="O217" s="36"/>
    </row>
    <row r="218" spans="1:15" ht="12.75" customHeight="1" x14ac:dyDescent="0.3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3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3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3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3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3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3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3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style="79" customWidth="1"/>
    <col min="9" max="12" width="9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3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3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3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3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3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3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3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3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3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3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3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3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3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3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3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3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3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3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3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3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3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3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3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3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3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3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3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3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3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3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3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3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3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3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3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3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3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3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3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3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3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3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1.0959261276255461E-10</v>
      </c>
      <c r="L46" s="636">
        <f>IF(ISBLANK(I46),IF(ISNUMBER(J46)=FALSE,K46,J46),I46)</f>
        <v>1.0959261276255461E-10</v>
      </c>
      <c r="M46" s="36" t="s">
        <v>486</v>
      </c>
      <c r="N46" s="36"/>
      <c r="O46" s="36"/>
    </row>
    <row r="47" spans="1:15" ht="12.75" customHeight="1" x14ac:dyDescent="0.3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0.57390410415704873</v>
      </c>
      <c r="L47" s="636">
        <f>IF(ISBLANK(I47),IF(ISNUMBER(J47)=FALSE,K47,J47),I47)</f>
        <v>0.57390410415704873</v>
      </c>
      <c r="M47" s="36" t="s">
        <v>486</v>
      </c>
      <c r="N47" s="29" t="s">
        <v>2185</v>
      </c>
      <c r="O47" s="36"/>
    </row>
    <row r="48" spans="1:15" ht="12.75" customHeight="1" x14ac:dyDescent="0.3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0.42609589573335865</v>
      </c>
      <c r="L48" s="636">
        <f>IF(ISBLANK(I48),IF(ISNUMBER(J48)=FALSE,K48,J48),I48)</f>
        <v>0.42609589573335865</v>
      </c>
      <c r="M48" s="36" t="s">
        <v>486</v>
      </c>
      <c r="N48" s="29" t="s">
        <v>2185</v>
      </c>
      <c r="O48" s="36"/>
    </row>
    <row r="49" spans="1:15" ht="12.75" customHeight="1" x14ac:dyDescent="0.3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3.8191943560330707E-21</v>
      </c>
      <c r="L49" s="636">
        <f>IF(ISBLANK(I49),IF(ISNUMBER(J49)=FALSE,K49,J49),I49)</f>
        <v>3.8191943560330707E-21</v>
      </c>
      <c r="M49" s="36" t="s">
        <v>486</v>
      </c>
      <c r="N49" s="29"/>
      <c r="O49" s="36"/>
    </row>
    <row r="50" spans="1:15" ht="12.75" customHeight="1" x14ac:dyDescent="0.3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3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2.6183532619132853E+20</v>
      </c>
      <c r="L51" s="636">
        <f t="shared" ref="L51:L58" si="2">IF(ISBLANK(I51),IF(ISNUMBER(J51)=FALSE,K51,J51),I51)</f>
        <v>2.6183532619132853E+20</v>
      </c>
      <c r="M51" s="36" t="s">
        <v>4051</v>
      </c>
      <c r="N51" s="29"/>
      <c r="O51" s="36"/>
    </row>
    <row r="52" spans="1:15" ht="12.75" customHeight="1" x14ac:dyDescent="0.3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1.944E+20</v>
      </c>
      <c r="L52" s="636">
        <f t="shared" si="2"/>
        <v>1.944E+20</v>
      </c>
      <c r="M52" s="36" t="s">
        <v>4052</v>
      </c>
      <c r="N52" s="29" t="s">
        <v>924</v>
      </c>
      <c r="O52" s="36"/>
    </row>
    <row r="53" spans="1:15" ht="12.75" customHeight="1" x14ac:dyDescent="0.3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0.97560838548675621</v>
      </c>
      <c r="L53" s="636">
        <f t="shared" si="2"/>
        <v>0.97560838548675621</v>
      </c>
      <c r="M53" s="36" t="s">
        <v>486</v>
      </c>
      <c r="N53" s="29"/>
      <c r="O53" s="36"/>
    </row>
    <row r="54" spans="1:15" ht="12.75" customHeight="1" x14ac:dyDescent="0.3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0.97560838548675621</v>
      </c>
      <c r="L54" s="636">
        <f t="shared" si="2"/>
        <v>0.97560838548675621</v>
      </c>
      <c r="M54" s="36" t="s">
        <v>486</v>
      </c>
      <c r="N54" s="29"/>
      <c r="O54" s="36"/>
    </row>
    <row r="55" spans="1:15" ht="12.75" customHeight="1" x14ac:dyDescent="0.3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5000</v>
      </c>
      <c r="L55" s="636">
        <f t="shared" si="2"/>
        <v>5000</v>
      </c>
      <c r="M55" s="36" t="s">
        <v>1498</v>
      </c>
      <c r="N55" s="29"/>
      <c r="O55" s="36"/>
    </row>
    <row r="56" spans="1:15" ht="12.75" customHeight="1" x14ac:dyDescent="0.3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5000</v>
      </c>
      <c r="L56" s="636">
        <f t="shared" si="2"/>
        <v>5000</v>
      </c>
      <c r="M56" s="36" t="s">
        <v>1498</v>
      </c>
      <c r="N56" s="29"/>
      <c r="O56" s="36"/>
    </row>
    <row r="57" spans="1:15" ht="12.75" customHeight="1" x14ac:dyDescent="0.3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3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3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3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3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1.44</v>
      </c>
      <c r="L61" s="636">
        <f>IF(ISBLANK(I61),IF(ISNUMBER(J61)=FALSE,K61,J61),I61)</f>
        <v>1.44</v>
      </c>
      <c r="M61" s="36" t="s">
        <v>1498</v>
      </c>
      <c r="N61" s="29"/>
      <c r="O61" s="36"/>
    </row>
    <row r="62" spans="1:15" ht="12.75" customHeight="1" x14ac:dyDescent="0.3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1.44</v>
      </c>
      <c r="L62" s="636">
        <f>IF(ISBLANK(I62),IF(ISNUMBER(J62)=FALSE,K62,J62),I62)</f>
        <v>1.44</v>
      </c>
      <c r="M62" s="36" t="s">
        <v>1498</v>
      </c>
      <c r="N62" s="29"/>
      <c r="O62" s="36"/>
    </row>
    <row r="63" spans="1:15" ht="12.75" customHeight="1" x14ac:dyDescent="0.3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3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3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1250.7999999999997</v>
      </c>
      <c r="L65" s="636">
        <f t="shared" ref="L65:L72" si="3">IF(ISBLANK(I65),IF(ISNUMBER(J65)=FALSE,K65,J65),I65)</f>
        <v>1250.7999999999997</v>
      </c>
      <c r="M65" s="36" t="s">
        <v>486</v>
      </c>
      <c r="N65" s="29"/>
      <c r="O65" s="36"/>
    </row>
    <row r="66" spans="1:15" ht="12.75" customHeight="1" x14ac:dyDescent="0.3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2500</v>
      </c>
      <c r="L66" s="636">
        <f t="shared" si="3"/>
        <v>2500</v>
      </c>
      <c r="M66" s="36" t="s">
        <v>1498</v>
      </c>
      <c r="N66" s="29"/>
      <c r="O66" s="36"/>
    </row>
    <row r="67" spans="1:15" ht="12.75" customHeight="1" x14ac:dyDescent="0.3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3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1500.2000000000003</v>
      </c>
      <c r="L68" s="636">
        <f t="shared" si="3"/>
        <v>1500.2000000000003</v>
      </c>
      <c r="M68" s="29" t="s">
        <v>486</v>
      </c>
      <c r="N68" s="29"/>
      <c r="O68" s="36"/>
    </row>
    <row r="69" spans="1:15" ht="12.75" customHeight="1" x14ac:dyDescent="0.3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1.3331555792560991E-4</v>
      </c>
      <c r="L69" s="636">
        <f t="shared" si="3"/>
        <v>1.3331555792560991E-4</v>
      </c>
      <c r="M69" s="29" t="s">
        <v>486</v>
      </c>
      <c r="N69" s="29"/>
      <c r="O69" s="36"/>
    </row>
    <row r="70" spans="1:15" ht="12.75" customHeight="1" x14ac:dyDescent="0.3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0.99986668444207449</v>
      </c>
      <c r="L70" s="636">
        <f t="shared" si="3"/>
        <v>0.99986668444207449</v>
      </c>
      <c r="M70" s="5" t="s">
        <v>486</v>
      </c>
      <c r="N70" s="29"/>
      <c r="O70" s="36"/>
    </row>
    <row r="71" spans="1:15" ht="12.75" customHeight="1" x14ac:dyDescent="0.3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1000</v>
      </c>
      <c r="L71" s="636">
        <f t="shared" si="3"/>
        <v>1000</v>
      </c>
      <c r="M71" s="36" t="s">
        <v>1498</v>
      </c>
      <c r="N71" s="29"/>
      <c r="O71" s="36"/>
    </row>
    <row r="72" spans="1:15" ht="12.75" customHeight="1" x14ac:dyDescent="0.3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3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3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3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3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3.9542333973253616E-6</v>
      </c>
      <c r="L76" s="636">
        <f t="shared" ref="L76:L89" si="4">IF(ISBLANK(I76),IF(ISNUMBER(J76)=FALSE,K76,J76),I76)</f>
        <v>3.9542333973253616E-6</v>
      </c>
      <c r="M76" s="29" t="s">
        <v>1488</v>
      </c>
      <c r="N76" s="29"/>
      <c r="O76" s="36"/>
    </row>
    <row r="77" spans="1:15" ht="12.75" customHeight="1" x14ac:dyDescent="0.3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3.9542333971228385E-6</v>
      </c>
      <c r="L77" s="636">
        <f t="shared" si="4"/>
        <v>3.9542333971228385E-6</v>
      </c>
      <c r="M77" s="29" t="s">
        <v>1488</v>
      </c>
      <c r="N77" s="29"/>
      <c r="O77" s="36"/>
    </row>
    <row r="78" spans="1:15" ht="12.75" customHeight="1" x14ac:dyDescent="0.3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1.7675106072712201E-25</v>
      </c>
      <c r="L78" s="636">
        <f t="shared" si="4"/>
        <v>1.7675106072712201E-25</v>
      </c>
      <c r="M78" s="29" t="s">
        <v>1488</v>
      </c>
      <c r="N78" s="29"/>
      <c r="O78" s="36"/>
    </row>
    <row r="79" spans="1:15" ht="12.75" customHeight="1" x14ac:dyDescent="0.3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6.7790674133494165E-26</v>
      </c>
      <c r="L79" s="636">
        <f t="shared" si="4"/>
        <v>6.7790674133494165E-26</v>
      </c>
      <c r="M79" s="29" t="s">
        <v>1488</v>
      </c>
      <c r="N79" s="29"/>
      <c r="O79" s="36"/>
    </row>
    <row r="80" spans="1:15" ht="12.75" customHeight="1" x14ac:dyDescent="0.3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7.9084667941308516E-6</v>
      </c>
      <c r="L80" s="636">
        <f t="shared" si="4"/>
        <v>7.9084667941308516E-6</v>
      </c>
      <c r="M80" s="29" t="s">
        <v>1488</v>
      </c>
      <c r="N80" s="29"/>
      <c r="O80" s="36"/>
    </row>
    <row r="81" spans="1:15" ht="12.75" customHeight="1" x14ac:dyDescent="0.3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9.0730375872401248E-6</v>
      </c>
      <c r="L81" s="636">
        <f t="shared" si="4"/>
        <v>9.0730375872401248E-6</v>
      </c>
      <c r="M81" s="29" t="s">
        <v>1488</v>
      </c>
      <c r="N81" s="29"/>
      <c r="O81" s="36"/>
    </row>
    <row r="82" spans="1:15" ht="12.75" customHeight="1" x14ac:dyDescent="0.3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2.1645707929996818E-6</v>
      </c>
      <c r="L82" s="636">
        <f t="shared" si="4"/>
        <v>2.1645707929996818E-6</v>
      </c>
      <c r="M82" s="29" t="s">
        <v>1488</v>
      </c>
      <c r="N82" s="29"/>
      <c r="O82" s="36"/>
    </row>
    <row r="83" spans="1:15" ht="12.75" customHeight="1" x14ac:dyDescent="0.3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10.615758770172757</v>
      </c>
      <c r="L83" s="636">
        <f t="shared" si="4"/>
        <v>10.615758770172757</v>
      </c>
      <c r="M83" s="29" t="s">
        <v>1488</v>
      </c>
      <c r="N83" s="29"/>
      <c r="O83" s="36"/>
    </row>
    <row r="84" spans="1:15" ht="12.75" customHeight="1" x14ac:dyDescent="0.3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3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3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9.9999999989040756E-4</v>
      </c>
      <c r="L86" s="636">
        <f t="shared" si="4"/>
        <v>9.9999999989040756E-4</v>
      </c>
      <c r="M86" s="29" t="s">
        <v>1490</v>
      </c>
      <c r="N86" s="29"/>
      <c r="O86" s="36"/>
    </row>
    <row r="87" spans="1:15" ht="12.75" customHeight="1" x14ac:dyDescent="0.3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3.152662851062818E-2</v>
      </c>
      <c r="L87" s="636">
        <f t="shared" si="4"/>
        <v>3.152662851062818E-2</v>
      </c>
      <c r="M87" s="29" t="s">
        <v>1490</v>
      </c>
      <c r="N87" s="29"/>
      <c r="O87" s="36"/>
    </row>
    <row r="88" spans="1:15" ht="12.75" customHeight="1" x14ac:dyDescent="0.3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10615.726078973454</v>
      </c>
      <c r="L88" s="636">
        <f t="shared" si="4"/>
        <v>10615.726078973454</v>
      </c>
      <c r="M88" s="29" t="s">
        <v>1490</v>
      </c>
      <c r="N88" s="29"/>
      <c r="O88" s="36"/>
    </row>
    <row r="89" spans="1:15" ht="12.75" customHeight="1" x14ac:dyDescent="0.3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3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3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3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5.1987151897085809E-13</v>
      </c>
      <c r="L92" s="636">
        <f t="shared" si="5"/>
        <v>5.1987151897085809E-13</v>
      </c>
      <c r="M92" s="36" t="s">
        <v>4047</v>
      </c>
      <c r="N92" s="29"/>
      <c r="O92" s="36"/>
    </row>
    <row r="93" spans="1:15" ht="12.75" customHeight="1" x14ac:dyDescent="0.3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1.1482581379516648E-13</v>
      </c>
      <c r="L93" s="636">
        <f>IF(ISBLANK(I93),IF(ISNUMBER(J93)=FALSE,K93,J93),I93)</f>
        <v>1.1482581379516648E-13</v>
      </c>
      <c r="M93" s="36" t="s">
        <v>4047</v>
      </c>
      <c r="N93" s="29"/>
      <c r="O93" s="36"/>
    </row>
    <row r="94" spans="1:15" ht="12.75" customHeight="1" x14ac:dyDescent="0.3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1.7675106072712202E-23</v>
      </c>
      <c r="L94" s="636">
        <f>IF(ISBLANK(I94),IF(ISNUMBER(J94)=FALSE,K94,J94),I94)</f>
        <v>1.7675106072712202E-23</v>
      </c>
      <c r="M94" s="36" t="s">
        <v>4047</v>
      </c>
      <c r="N94" s="29"/>
      <c r="O94" s="36"/>
    </row>
    <row r="95" spans="1:15" ht="12.75" customHeight="1" x14ac:dyDescent="0.3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3.3895337066747085E-27</v>
      </c>
      <c r="L95" s="636">
        <f>IF(ISBLANK(I95),IF(ISNUMBER(J95)=FALSE,K95,J95),I95)</f>
        <v>3.3895337066747085E-27</v>
      </c>
      <c r="M95" s="36" t="s">
        <v>4047</v>
      </c>
      <c r="N95" s="29"/>
      <c r="O95" s="36"/>
    </row>
    <row r="96" spans="1:15" ht="12.75" customHeight="1" x14ac:dyDescent="0.3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4.7436730073880193E-3</v>
      </c>
      <c r="L96" s="636">
        <f t="shared" si="5"/>
        <v>4.7436730073880193E-3</v>
      </c>
      <c r="M96" s="29" t="s">
        <v>1490</v>
      </c>
      <c r="N96" s="29"/>
      <c r="O96" s="36"/>
    </row>
    <row r="97" spans="1:15" ht="12.75" customHeight="1" x14ac:dyDescent="0.3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5.4415788550341428E-6</v>
      </c>
      <c r="L97" s="636">
        <f t="shared" si="5"/>
        <v>5.4415788550341428E-6</v>
      </c>
      <c r="M97" s="29" t="s">
        <v>1490</v>
      </c>
      <c r="N97" s="29"/>
      <c r="O97" s="36"/>
    </row>
    <row r="98" spans="1:15" ht="12.75" customHeight="1" x14ac:dyDescent="0.3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3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3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4.0612619817811774E-22</v>
      </c>
      <c r="L100" s="636">
        <f>IF(ISBLANK(I100),IF(ISNUMBER(J100)=FALSE,K100,J100),I100)</f>
        <v>4.0612619817811774E-22</v>
      </c>
      <c r="M100" s="29" t="s">
        <v>1490</v>
      </c>
      <c r="N100" s="29" t="s">
        <v>1415</v>
      </c>
      <c r="O100" s="36"/>
    </row>
    <row r="101" spans="1:15" ht="12.75" customHeight="1" x14ac:dyDescent="0.3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3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3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2.4420331441724265E-10</v>
      </c>
      <c r="L103" s="636">
        <f t="shared" ref="L103:L109" si="6">IF(ISBLANK(I103),IF(ISNUMBER(J103)=FALSE,K103,J103),I103)</f>
        <v>2.4420331441724265E-10</v>
      </c>
      <c r="M103" s="29" t="s">
        <v>1488</v>
      </c>
      <c r="N103" s="29"/>
      <c r="O103" s="36"/>
    </row>
    <row r="104" spans="1:15" ht="12.75" customHeight="1" x14ac:dyDescent="0.3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1.0375074023028534E-8</v>
      </c>
      <c r="L104" s="636">
        <f t="shared" si="6"/>
        <v>1.0375074023028534E-8</v>
      </c>
      <c r="M104" s="29" t="s">
        <v>1488</v>
      </c>
      <c r="N104" s="29"/>
      <c r="O104" s="36"/>
    </row>
    <row r="105" spans="1:15" ht="12.75" customHeight="1" x14ac:dyDescent="0.3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7.0577588290635961E-7</v>
      </c>
      <c r="L105" s="636">
        <f t="shared" si="6"/>
        <v>7.0577588290635961E-7</v>
      </c>
      <c r="M105" s="36" t="s">
        <v>4047</v>
      </c>
      <c r="N105" s="325"/>
      <c r="O105" s="36"/>
    </row>
    <row r="106" spans="1:15" ht="12.75" customHeight="1" x14ac:dyDescent="0.3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3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3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3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3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3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2.6834060345368403E-8</v>
      </c>
      <c r="L111" s="636">
        <f>IF(ISBLANK(I111),IF(ISNUMBER(J111)=FALSE,K111,J111),I111)</f>
        <v>2.6834060345368403E-8</v>
      </c>
      <c r="M111" s="36" t="s">
        <v>4047</v>
      </c>
      <c r="N111" s="29"/>
      <c r="O111" s="36"/>
    </row>
    <row r="112" spans="1:15" ht="12.75" customHeight="1" x14ac:dyDescent="0.3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2.1989886868443805E-11</v>
      </c>
      <c r="L112" s="636">
        <f>IF(ISBLANK(I112),IF(ISNUMBER(J112)=FALSE,K112,J112),I112)</f>
        <v>2.1989886868443805E-11</v>
      </c>
      <c r="M112" s="36" t="s">
        <v>4047</v>
      </c>
      <c r="N112" s="29"/>
      <c r="O112" s="36"/>
    </row>
    <row r="113" spans="1:15" ht="12.75" customHeight="1" x14ac:dyDescent="0.3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3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3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3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1.1818649681534741E-10</v>
      </c>
      <c r="L116" s="636">
        <f>IF(ISBLANK(I116),IF(ISNUMBER(J116)=FALSE,K116,J116),I116)</f>
        <v>1.1818649681534741E-10</v>
      </c>
      <c r="M116" s="29" t="s">
        <v>1488</v>
      </c>
      <c r="N116" s="29"/>
      <c r="O116" s="36"/>
    </row>
    <row r="117" spans="1:15" ht="12.75" customHeight="1" x14ac:dyDescent="0.3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3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3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3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3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3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3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3.663258818281463E-10</v>
      </c>
      <c r="L123" s="636">
        <f t="shared" ref="L123:L138" si="7">IF(ISBLANK(I123),IF(ISNUMBER(J123)=FALSE,K123,J123),I123)</f>
        <v>3.663258818281463E-10</v>
      </c>
      <c r="M123" s="29" t="s">
        <v>1488</v>
      </c>
      <c r="N123" s="29"/>
      <c r="O123" s="36"/>
    </row>
    <row r="124" spans="1:15" ht="12.75" customHeight="1" x14ac:dyDescent="0.3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3.9622012450842787E-21</v>
      </c>
      <c r="L124" s="636">
        <f t="shared" si="7"/>
        <v>3.9622012450842787E-21</v>
      </c>
      <c r="M124" s="29" t="s">
        <v>1488</v>
      </c>
      <c r="N124" s="29"/>
      <c r="O124" s="36"/>
    </row>
    <row r="125" spans="1:15" ht="12.75" customHeight="1" x14ac:dyDescent="0.3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3.9622012450842787E-21</v>
      </c>
      <c r="L125" s="636">
        <f t="shared" si="7"/>
        <v>3.9622012450842787E-21</v>
      </c>
      <c r="M125" s="29" t="s">
        <v>1488</v>
      </c>
      <c r="N125" s="29"/>
      <c r="O125" s="36"/>
    </row>
    <row r="126" spans="1:15" ht="12.75" customHeight="1" x14ac:dyDescent="0.3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2.9839343187174201E-12</v>
      </c>
      <c r="L126" s="636">
        <f t="shared" si="7"/>
        <v>2.9839343187174201E-12</v>
      </c>
      <c r="M126" s="29" t="s">
        <v>1488</v>
      </c>
      <c r="N126" s="29"/>
      <c r="O126" s="36"/>
    </row>
    <row r="127" spans="1:15" ht="12.75" customHeight="1" x14ac:dyDescent="0.3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6.3343050832543649E-13</v>
      </c>
      <c r="L127" s="636">
        <f t="shared" si="7"/>
        <v>6.3343050832543649E-13</v>
      </c>
      <c r="M127" s="29" t="s">
        <v>1488</v>
      </c>
      <c r="N127" s="29"/>
      <c r="O127" s="36"/>
    </row>
    <row r="128" spans="1:15" ht="12.75" customHeight="1" x14ac:dyDescent="0.3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3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9.8605221309046349E-31</v>
      </c>
      <c r="L129" s="636">
        <f t="shared" si="7"/>
        <v>9.8605221309046349E-31</v>
      </c>
      <c r="M129" s="36" t="s">
        <v>1488</v>
      </c>
      <c r="N129" s="29"/>
      <c r="O129" s="36"/>
    </row>
    <row r="130" spans="1:15" ht="12.75" customHeight="1" x14ac:dyDescent="0.3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3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3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3.9622012450842787E-21</v>
      </c>
      <c r="L132" s="636">
        <f t="shared" si="7"/>
        <v>3.9622012450842787E-21</v>
      </c>
      <c r="M132" s="36" t="s">
        <v>1488</v>
      </c>
      <c r="N132" s="29"/>
      <c r="O132" s="36"/>
    </row>
    <row r="133" spans="1:15" ht="12.75" customHeight="1" x14ac:dyDescent="0.3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3.9622012450842787E-21</v>
      </c>
      <c r="L133" s="636">
        <f t="shared" si="7"/>
        <v>3.9622012450842787E-21</v>
      </c>
      <c r="M133" s="36" t="s">
        <v>1488</v>
      </c>
      <c r="N133" s="29"/>
      <c r="O133" s="36"/>
    </row>
    <row r="134" spans="1:15" ht="12.75" customHeight="1" x14ac:dyDescent="0.3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3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3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4.0612619817811774E-21</v>
      </c>
      <c r="L137" s="636">
        <f t="shared" si="7"/>
        <v>4.0612619817811774E-21</v>
      </c>
      <c r="M137" s="36" t="s">
        <v>1488</v>
      </c>
      <c r="N137" s="29"/>
      <c r="O137" s="36"/>
    </row>
    <row r="138" spans="1:15" ht="12.75" customHeight="1" x14ac:dyDescent="0.3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4.0612619817811774E-21</v>
      </c>
      <c r="L138" s="636">
        <f t="shared" si="7"/>
        <v>4.0612619817811774E-21</v>
      </c>
      <c r="M138" s="36" t="s">
        <v>1488</v>
      </c>
      <c r="N138" s="29"/>
      <c r="O138" s="36"/>
    </row>
    <row r="139" spans="1:15" ht="12.75" customHeight="1" x14ac:dyDescent="0.3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3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3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3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3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3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3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3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3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3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3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3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3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3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3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3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3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3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3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3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3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3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3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3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3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3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3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3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3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3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3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3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3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3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3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3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3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3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3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3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2.6865745739179658E-11</v>
      </c>
      <c r="L182" s="636">
        <f>IF(ISBLANK(I182),IF(ISNUMBER(J182)=FALSE,K182,J182),I182)</f>
        <v>2.6865745739179658E-11</v>
      </c>
      <c r="M182" s="36" t="s">
        <v>486</v>
      </c>
      <c r="N182" s="36"/>
      <c r="O182" s="36"/>
    </row>
    <row r="183" spans="1:15" ht="12.75" customHeight="1" x14ac:dyDescent="0.3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0.89554653811528195</v>
      </c>
      <c r="L183" s="636">
        <f>IF(ISBLANK(I183),IF(ISNUMBER(J183)=FALSE,K183,J183),I183)</f>
        <v>0.89554653811528195</v>
      </c>
      <c r="M183" s="36" t="s">
        <v>486</v>
      </c>
      <c r="N183" s="36" t="s">
        <v>2185</v>
      </c>
      <c r="O183" s="36"/>
    </row>
    <row r="184" spans="1:15" ht="12.75" customHeight="1" x14ac:dyDescent="0.3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0.1044534618578523</v>
      </c>
      <c r="L184" s="636">
        <f>IF(ISBLANK(I184),IF(ISNUMBER(J184)=FALSE,K184,J184),I184)</f>
        <v>0.1044534618578523</v>
      </c>
      <c r="M184" s="36" t="s">
        <v>486</v>
      </c>
      <c r="N184" s="36" t="s">
        <v>2185</v>
      </c>
      <c r="O184" s="36"/>
    </row>
    <row r="185" spans="1:15" ht="12.75" customHeight="1" x14ac:dyDescent="0.3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5.9998227197068703E-22</v>
      </c>
      <c r="L185" s="636">
        <f>IF(ISBLANK(I185),IF(ISNUMBER(J185)=FALSE,K185,J185),I185)</f>
        <v>5.9998227197068703E-22</v>
      </c>
      <c r="M185" s="36" t="s">
        <v>486</v>
      </c>
      <c r="N185" s="29"/>
      <c r="O185" s="36"/>
    </row>
    <row r="186" spans="1:15" ht="12.75" customHeight="1" x14ac:dyDescent="0.3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3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1.6667159126475929E+21</v>
      </c>
      <c r="L187" s="636">
        <f t="shared" ref="L187:L194" si="10">IF(ISBLANK(I187),IF(ISNUMBER(J187)=FALSE,K187,J187),I187)</f>
        <v>1.6667159126475929E+21</v>
      </c>
      <c r="M187" s="36" t="s">
        <v>4051</v>
      </c>
      <c r="N187" s="29"/>
      <c r="O187" s="36"/>
    </row>
    <row r="188" spans="1:15" ht="12.75" customHeight="1" x14ac:dyDescent="0.3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1.944E+20</v>
      </c>
      <c r="L188" s="636">
        <f t="shared" si="10"/>
        <v>1.944E+20</v>
      </c>
      <c r="M188" s="36" t="s">
        <v>4052</v>
      </c>
      <c r="N188" s="29" t="s">
        <v>924</v>
      </c>
      <c r="O188" s="36"/>
    </row>
    <row r="189" spans="1:15" ht="12.75" customHeight="1" x14ac:dyDescent="0.3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0.97560838548675621</v>
      </c>
      <c r="L189" s="636">
        <f t="shared" si="10"/>
        <v>0.97560838548675621</v>
      </c>
      <c r="M189" s="36" t="s">
        <v>486</v>
      </c>
      <c r="N189" s="29"/>
      <c r="O189" s="36"/>
    </row>
    <row r="190" spans="1:15" ht="12.75" customHeight="1" x14ac:dyDescent="0.3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0.97560838548675621</v>
      </c>
      <c r="L190" s="636">
        <f t="shared" si="10"/>
        <v>0.97560838548675621</v>
      </c>
      <c r="M190" s="36" t="s">
        <v>486</v>
      </c>
      <c r="N190" s="29"/>
      <c r="O190" s="36"/>
    </row>
    <row r="191" spans="1:15" ht="12.75" customHeight="1" x14ac:dyDescent="0.3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5000</v>
      </c>
      <c r="L191" s="636">
        <f t="shared" si="10"/>
        <v>5000</v>
      </c>
      <c r="M191" s="36" t="s">
        <v>1498</v>
      </c>
      <c r="N191" s="29"/>
      <c r="O191" s="36"/>
    </row>
    <row r="192" spans="1:15" ht="12.75" customHeight="1" x14ac:dyDescent="0.3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5000</v>
      </c>
      <c r="L192" s="636">
        <f t="shared" si="10"/>
        <v>5000</v>
      </c>
      <c r="M192" s="36" t="s">
        <v>1498</v>
      </c>
      <c r="N192" s="29"/>
      <c r="O192" s="36"/>
    </row>
    <row r="193" spans="1:15" ht="12.75" customHeight="1" x14ac:dyDescent="0.3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3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3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3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3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1.44</v>
      </c>
      <c r="L197" s="636">
        <f>IF(ISBLANK(I197),IF(ISNUMBER(J197)=FALSE,K197,J197),I197)</f>
        <v>1.44</v>
      </c>
      <c r="M197" s="36" t="s">
        <v>1498</v>
      </c>
      <c r="N197" s="29"/>
      <c r="O197" s="36"/>
    </row>
    <row r="198" spans="1:15" ht="12.75" customHeight="1" x14ac:dyDescent="0.3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1.44</v>
      </c>
      <c r="L198" s="636">
        <f>IF(ISBLANK(I198),IF(ISNUMBER(J198)=FALSE,K198,J198),I198)</f>
        <v>1.44</v>
      </c>
      <c r="M198" s="36" t="s">
        <v>1498</v>
      </c>
      <c r="N198" s="29"/>
      <c r="O198" s="36"/>
    </row>
    <row r="199" spans="1:15" ht="12.75" customHeight="1" x14ac:dyDescent="0.3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3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3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1250.7999999999997</v>
      </c>
      <c r="L201" s="636">
        <f t="shared" ref="L201:L208" si="11">IF(ISBLANK(I201),IF(ISNUMBER(J201)=FALSE,K201,J201),I201)</f>
        <v>1250.7999999999997</v>
      </c>
      <c r="M201" s="36" t="s">
        <v>486</v>
      </c>
      <c r="N201" s="29"/>
      <c r="O201" s="36"/>
    </row>
    <row r="202" spans="1:15" ht="12.75" customHeight="1" x14ac:dyDescent="0.3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2500</v>
      </c>
      <c r="L202" s="636">
        <f t="shared" si="11"/>
        <v>2500</v>
      </c>
      <c r="M202" s="36" t="s">
        <v>1498</v>
      </c>
      <c r="N202" s="29"/>
      <c r="O202" s="36"/>
    </row>
    <row r="203" spans="1:15" ht="12.75" customHeight="1" x14ac:dyDescent="0.3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3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1500.2000000000003</v>
      </c>
      <c r="L204" s="636">
        <f t="shared" si="11"/>
        <v>1500.2000000000003</v>
      </c>
      <c r="M204" s="29" t="s">
        <v>486</v>
      </c>
      <c r="N204" s="29"/>
      <c r="O204" s="36"/>
    </row>
    <row r="205" spans="1:15" ht="12.75" customHeight="1" x14ac:dyDescent="0.3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1.3331555792560991E-4</v>
      </c>
      <c r="L205" s="636">
        <f t="shared" si="11"/>
        <v>1.3331555792560991E-4</v>
      </c>
      <c r="M205" s="29" t="s">
        <v>486</v>
      </c>
      <c r="N205" s="29"/>
      <c r="O205" s="36"/>
    </row>
    <row r="206" spans="1:15" ht="12.75" customHeight="1" x14ac:dyDescent="0.3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0.99986668444207449</v>
      </c>
      <c r="L206" s="636">
        <f t="shared" si="11"/>
        <v>0.99986668444207449</v>
      </c>
      <c r="M206" s="5" t="s">
        <v>486</v>
      </c>
      <c r="N206" s="29"/>
      <c r="O206" s="36"/>
    </row>
    <row r="207" spans="1:15" ht="12.75" customHeight="1" x14ac:dyDescent="0.3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1000</v>
      </c>
      <c r="L207" s="636">
        <f t="shared" si="11"/>
        <v>1000</v>
      </c>
      <c r="M207" s="36" t="s">
        <v>1498</v>
      </c>
      <c r="N207" s="29"/>
      <c r="O207" s="36"/>
    </row>
    <row r="208" spans="1:15" ht="12.75" customHeight="1" x14ac:dyDescent="0.3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3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3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3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3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4.8101189247517175E-6</v>
      </c>
      <c r="L212" s="636">
        <f t="shared" ref="L212:L225" si="12">IF(ISBLANK(I212),IF(ISNUMBER(J212)=FALSE,K212,J212),I212)</f>
        <v>4.8101189247517175E-6</v>
      </c>
      <c r="M212" s="29" t="s">
        <v>1488</v>
      </c>
      <c r="N212" s="29"/>
      <c r="O212" s="36"/>
    </row>
    <row r="213" spans="1:15" ht="12.75" customHeight="1" x14ac:dyDescent="0.3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3.2067459497947611E-6</v>
      </c>
      <c r="L213" s="636">
        <f t="shared" si="12"/>
        <v>3.2067459497947611E-6</v>
      </c>
      <c r="M213" s="29" t="s">
        <v>1488</v>
      </c>
      <c r="N213" s="29"/>
      <c r="O213" s="36"/>
    </row>
    <row r="214" spans="1:15" ht="12.75" customHeight="1" x14ac:dyDescent="0.3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2.7766982536714156E-26</v>
      </c>
      <c r="L214" s="636">
        <f t="shared" si="12"/>
        <v>2.7766982536714156E-26</v>
      </c>
      <c r="M214" s="29" t="s">
        <v>1488</v>
      </c>
      <c r="N214" s="29"/>
      <c r="O214" s="36"/>
    </row>
    <row r="215" spans="1:15" ht="12.75" customHeight="1" x14ac:dyDescent="0.3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1.0649700749174345E-26</v>
      </c>
      <c r="L215" s="636">
        <f t="shared" si="12"/>
        <v>1.0649700749174345E-26</v>
      </c>
      <c r="M215" s="29" t="s">
        <v>1488</v>
      </c>
      <c r="N215" s="29"/>
      <c r="O215" s="36"/>
    </row>
    <row r="216" spans="1:15" ht="12.75" customHeight="1" x14ac:dyDescent="0.3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8.0168648744587536E-6</v>
      </c>
      <c r="L216" s="636">
        <f t="shared" si="12"/>
        <v>8.0168648744587536E-6</v>
      </c>
      <c r="M216" s="29" t="s">
        <v>1555</v>
      </c>
      <c r="N216" s="29"/>
      <c r="O216" s="36"/>
    </row>
    <row r="217" spans="1:15" ht="12.75" customHeight="1" x14ac:dyDescent="0.3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8.7092067267920898E-6</v>
      </c>
      <c r="L217" s="636">
        <f t="shared" si="12"/>
        <v>8.7092067267920898E-6</v>
      </c>
      <c r="M217" s="29" t="s">
        <v>1488</v>
      </c>
      <c r="N217" s="29"/>
      <c r="O217" s="36"/>
    </row>
    <row r="218" spans="1:15" ht="12.75" customHeight="1" x14ac:dyDescent="0.3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1.6923418523064712E-6</v>
      </c>
      <c r="L218" s="636">
        <f t="shared" si="12"/>
        <v>1.6923418523064712E-6</v>
      </c>
      <c r="M218" s="29" t="s">
        <v>1488</v>
      </c>
      <c r="N218" s="29"/>
      <c r="O218" s="36"/>
    </row>
    <row r="219" spans="1:15" ht="12.75" customHeight="1" x14ac:dyDescent="0.3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5.9162005405744775</v>
      </c>
      <c r="L219" s="636">
        <f t="shared" si="12"/>
        <v>5.9162005405744775</v>
      </c>
      <c r="M219" s="29" t="s">
        <v>1488</v>
      </c>
      <c r="N219" s="29"/>
      <c r="O219" s="36"/>
    </row>
    <row r="220" spans="1:15" ht="12.75" customHeight="1" x14ac:dyDescent="0.3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3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3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9.9999999997313436E-4</v>
      </c>
      <c r="L222" s="636">
        <f t="shared" si="12"/>
        <v>9.9999999997313436E-4</v>
      </c>
      <c r="M222" s="29" t="s">
        <v>1490</v>
      </c>
      <c r="N222" s="29"/>
      <c r="O222" s="36"/>
    </row>
    <row r="223" spans="1:15" ht="12.75" customHeight="1" x14ac:dyDescent="0.3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2.7601646229138211E-3</v>
      </c>
      <c r="L223" s="636">
        <f t="shared" si="12"/>
        <v>2.7601646229138211E-3</v>
      </c>
      <c r="M223" s="29" t="s">
        <v>1490</v>
      </c>
      <c r="N223" s="29"/>
      <c r="O223" s="36"/>
    </row>
    <row r="224" spans="1:15" ht="12.75" customHeight="1" x14ac:dyDescent="0.3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5916.1970880680028</v>
      </c>
      <c r="L224" s="636">
        <f t="shared" si="12"/>
        <v>5916.1970880680028</v>
      </c>
      <c r="M224" s="29" t="s">
        <v>1490</v>
      </c>
      <c r="N224" s="29"/>
      <c r="O224" s="36"/>
    </row>
    <row r="225" spans="1:15" ht="12.75" customHeight="1" x14ac:dyDescent="0.3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3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3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3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1.2744231288629623E-13</v>
      </c>
      <c r="L228" s="636">
        <f t="shared" si="13"/>
        <v>1.2744231288629623E-13</v>
      </c>
      <c r="M228" s="36" t="s">
        <v>4047</v>
      </c>
      <c r="N228" s="29"/>
      <c r="O228" s="36"/>
    </row>
    <row r="229" spans="1:15" ht="12.75" customHeight="1" x14ac:dyDescent="0.3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2.8148674221817987E-14</v>
      </c>
      <c r="L229" s="636">
        <f>IF(ISBLANK(I229),IF(ISNUMBER(J229)=FALSE,K229,J229),I229)</f>
        <v>2.8148674221817987E-14</v>
      </c>
      <c r="M229" s="36" t="s">
        <v>4047</v>
      </c>
      <c r="N229" s="29"/>
      <c r="O229" s="36"/>
    </row>
    <row r="230" spans="1:15" ht="12.75" customHeight="1" x14ac:dyDescent="0.3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2.7766982536714157E-24</v>
      </c>
      <c r="L230" s="636">
        <f t="shared" si="13"/>
        <v>2.7766982536714157E-24</v>
      </c>
      <c r="M230" s="36" t="s">
        <v>4047</v>
      </c>
      <c r="N230" s="29"/>
      <c r="O230" s="36"/>
    </row>
    <row r="231" spans="1:15" ht="12.75" customHeight="1" x14ac:dyDescent="0.3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5.3248503745871726E-28</v>
      </c>
      <c r="L231" s="636">
        <f>IF(ISBLANK(I231),IF(ISNUMBER(J231)=FALSE,K231,J231),I231)</f>
        <v>5.3248503745871726E-28</v>
      </c>
      <c r="M231" s="36" t="s">
        <v>4047</v>
      </c>
      <c r="N231" s="29"/>
      <c r="O231" s="36"/>
    </row>
    <row r="232" spans="1:15" ht="12.75" customHeight="1" x14ac:dyDescent="0.3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4.7436730073880193E-3</v>
      </c>
      <c r="L232" s="636">
        <f t="shared" si="13"/>
        <v>4.7436730073880193E-3</v>
      </c>
      <c r="M232" s="29" t="s">
        <v>1490</v>
      </c>
      <c r="N232" s="29"/>
      <c r="O232" s="36"/>
    </row>
    <row r="233" spans="1:15" ht="12.75" customHeight="1" x14ac:dyDescent="0.3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5.4415788550341428E-6</v>
      </c>
      <c r="L233" s="636">
        <f t="shared" si="13"/>
        <v>5.4415788550341428E-6</v>
      </c>
      <c r="M233" s="29" t="s">
        <v>1490</v>
      </c>
      <c r="N233" s="29"/>
      <c r="O233" s="36"/>
    </row>
    <row r="234" spans="1:15" ht="12.75" customHeight="1" x14ac:dyDescent="0.3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3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3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8.8388347648318441E-23</v>
      </c>
      <c r="L236" s="636">
        <f>IF(ISBLANK(I236),IF(ISNUMBER(J236)=FALSE,K236,J236),I236)</f>
        <v>8.8388347648318441E-23</v>
      </c>
      <c r="M236" s="29" t="s">
        <v>1490</v>
      </c>
      <c r="N236" s="29" t="s">
        <v>1415</v>
      </c>
      <c r="O236" s="36"/>
    </row>
    <row r="237" spans="1:15" ht="12.75" customHeight="1" x14ac:dyDescent="0.3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3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3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2.4420331441724265E-10</v>
      </c>
      <c r="L239" s="636">
        <f t="shared" ref="L239:L245" si="14">IF(ISBLANK(I239),IF(ISNUMBER(J239)=FALSE,K239,J239),I239)</f>
        <v>2.4420331441724265E-10</v>
      </c>
      <c r="M239" s="29" t="s">
        <v>1488</v>
      </c>
      <c r="N239" s="29"/>
      <c r="O239" s="36"/>
    </row>
    <row r="240" spans="1:15" ht="12.75" customHeight="1" x14ac:dyDescent="0.3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1.0375943971210938E-8</v>
      </c>
      <c r="L240" s="636">
        <f t="shared" si="14"/>
        <v>1.0375943971210938E-8</v>
      </c>
      <c r="M240" s="29" t="s">
        <v>1488</v>
      </c>
      <c r="N240" s="29"/>
      <c r="O240" s="36"/>
    </row>
    <row r="241" spans="1:15" ht="12.75" customHeight="1" x14ac:dyDescent="0.3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7.0577588290635961E-7</v>
      </c>
      <c r="L241" s="636">
        <f t="shared" si="14"/>
        <v>7.0577588290635961E-7</v>
      </c>
      <c r="M241" s="36" t="s">
        <v>4047</v>
      </c>
      <c r="N241" s="325"/>
      <c r="O241" s="36"/>
    </row>
    <row r="242" spans="1:15" ht="12.75" customHeight="1" x14ac:dyDescent="0.3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3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3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3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3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3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2.6834060345368403E-8</v>
      </c>
      <c r="L247" s="636">
        <f>IF(ISBLANK(I247),IF(ISNUMBER(J247)=FALSE,K247,J247),I247)</f>
        <v>2.6834060345368403E-8</v>
      </c>
      <c r="M247" s="36" t="s">
        <v>4047</v>
      </c>
      <c r="N247" s="29"/>
      <c r="O247" s="36"/>
    </row>
    <row r="248" spans="1:15" ht="12.75" customHeight="1" x14ac:dyDescent="0.3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2.1989886868443805E-11</v>
      </c>
      <c r="L248" s="636">
        <f>IF(ISBLANK(I248),IF(ISNUMBER(J248)=FALSE,K248,J248),I248)</f>
        <v>2.1989886868443805E-11</v>
      </c>
      <c r="M248" s="36" t="s">
        <v>4047</v>
      </c>
      <c r="N248" s="29"/>
      <c r="O248" s="36"/>
    </row>
    <row r="249" spans="1:15" ht="12.75" customHeight="1" x14ac:dyDescent="0.3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3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3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3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5.7751868251914663E-11</v>
      </c>
      <c r="L252" s="636">
        <f>IF(ISBLANK(I252),IF(ISNUMBER(J252)=FALSE,K252,J252),I252)</f>
        <v>5.7751868251914663E-11</v>
      </c>
      <c r="M252" s="29" t="s">
        <v>1488</v>
      </c>
      <c r="N252" s="29"/>
      <c r="O252" s="36"/>
    </row>
    <row r="253" spans="1:15" ht="12.75" customHeight="1" x14ac:dyDescent="0.3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3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3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3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3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3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3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3.663258818281463E-10</v>
      </c>
      <c r="L259" s="636">
        <f t="shared" ref="L259:L274" si="15">IF(ISBLANK(I259),IF(ISNUMBER(J259)=FALSE,K259,J259),I259)</f>
        <v>3.663258818281463E-10</v>
      </c>
      <c r="M259" s="29" t="s">
        <v>1488</v>
      </c>
      <c r="N259" s="29"/>
      <c r="O259" s="36"/>
    </row>
    <row r="260" spans="1:15" ht="12.75" customHeight="1" x14ac:dyDescent="0.3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8.6232413145018086E-22</v>
      </c>
      <c r="L260" s="636">
        <f t="shared" si="15"/>
        <v>8.6232413145018086E-22</v>
      </c>
      <c r="M260" s="29" t="s">
        <v>1488</v>
      </c>
      <c r="N260" s="29"/>
      <c r="O260" s="36"/>
    </row>
    <row r="261" spans="1:15" ht="12.75" customHeight="1" x14ac:dyDescent="0.3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8.6232413145018086E-22</v>
      </c>
      <c r="L261" s="636">
        <f t="shared" si="15"/>
        <v>8.6232413145018086E-22</v>
      </c>
      <c r="M261" s="29" t="s">
        <v>1488</v>
      </c>
      <c r="N261" s="29"/>
      <c r="O261" s="36"/>
    </row>
    <row r="262" spans="1:15" ht="12.75" customHeight="1" x14ac:dyDescent="0.3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2.1139861331348332E-12</v>
      </c>
      <c r="L262" s="636">
        <f t="shared" si="15"/>
        <v>2.1139861331348332E-12</v>
      </c>
      <c r="M262" s="29" t="s">
        <v>1488</v>
      </c>
      <c r="N262" s="29"/>
      <c r="O262" s="36"/>
    </row>
    <row r="263" spans="1:15" ht="12.75" customHeight="1" x14ac:dyDescent="0.3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2.2622518097823154E-13</v>
      </c>
      <c r="L263" s="636">
        <f t="shared" si="15"/>
        <v>2.2622518097823154E-13</v>
      </c>
      <c r="M263" s="29" t="s">
        <v>1488</v>
      </c>
      <c r="N263" s="29"/>
      <c r="O263" s="36"/>
    </row>
    <row r="264" spans="1:15" ht="12.75" customHeight="1" x14ac:dyDescent="0.3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3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2.0214925174642772E-31</v>
      </c>
      <c r="L265" s="636">
        <f t="shared" si="15"/>
        <v>2.0214925174642772E-31</v>
      </c>
      <c r="M265" s="36" t="s">
        <v>1488</v>
      </c>
      <c r="N265" s="29"/>
      <c r="O265" s="36"/>
    </row>
    <row r="266" spans="1:15" ht="12.75" customHeight="1" x14ac:dyDescent="0.3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3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3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8.6232413145018086E-22</v>
      </c>
      <c r="L268" s="636">
        <f t="shared" si="15"/>
        <v>8.6232413145018086E-22</v>
      </c>
      <c r="M268" s="36" t="s">
        <v>1488</v>
      </c>
      <c r="N268" s="29"/>
      <c r="O268" s="36"/>
    </row>
    <row r="269" spans="1:15" ht="12.75" customHeight="1" x14ac:dyDescent="0.3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8.6232413145018086E-22</v>
      </c>
      <c r="L269" s="636">
        <f t="shared" si="15"/>
        <v>8.6232413145018086E-22</v>
      </c>
      <c r="M269" s="36" t="s">
        <v>1488</v>
      </c>
      <c r="N269" s="29"/>
      <c r="O269" s="36"/>
    </row>
    <row r="270" spans="1:15" ht="12.75" customHeight="1" x14ac:dyDescent="0.3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3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3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3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8.8388347648318438E-22</v>
      </c>
      <c r="L273" s="636">
        <f t="shared" si="15"/>
        <v>8.8388347648318438E-22</v>
      </c>
      <c r="M273" s="36" t="s">
        <v>1488</v>
      </c>
      <c r="N273" s="29"/>
      <c r="O273" s="36"/>
    </row>
    <row r="274" spans="1:15" ht="12.75" customHeight="1" x14ac:dyDescent="0.3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8.8388347648318438E-22</v>
      </c>
      <c r="L274" s="636">
        <f t="shared" si="15"/>
        <v>8.8388347648318438E-22</v>
      </c>
      <c r="M274" s="36" t="s">
        <v>1488</v>
      </c>
      <c r="N274" s="29"/>
      <c r="O274" s="36"/>
    </row>
    <row r="275" spans="1:15" ht="12.75" customHeight="1" x14ac:dyDescent="0.3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3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3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3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3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3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3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3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3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3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3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3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3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3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3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3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3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3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3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3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3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3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3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3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3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3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3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3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3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3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3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3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3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3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3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3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3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3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3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3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3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3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3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1.6983692230354563E-10</v>
      </c>
      <c r="L318" s="636">
        <f>IF(ISBLANK(I318),IF(ISNUMBER(J318)=FALSE,K318,J318),I318)</f>
        <v>1.6983692230354563E-10</v>
      </c>
      <c r="M318" s="20" t="s">
        <v>486</v>
      </c>
      <c r="N318" s="36"/>
      <c r="O318" s="36"/>
    </row>
    <row r="319" spans="1:15" ht="12.75" customHeight="1" x14ac:dyDescent="0.3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0.33967391298578903</v>
      </c>
      <c r="L319" s="636">
        <f>IF(ISBLANK(I319),IF(ISNUMBER(J319)=FALSE,K319,J319),I319)</f>
        <v>0.33967391298578903</v>
      </c>
      <c r="M319" s="36" t="s">
        <v>486</v>
      </c>
      <c r="N319" s="29" t="s">
        <v>2185</v>
      </c>
      <c r="O319" s="36"/>
    </row>
    <row r="320" spans="1:15" ht="12.75" customHeight="1" x14ac:dyDescent="0.3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0.66032608684437399</v>
      </c>
      <c r="L320" s="636">
        <f>IF(ISBLANK(I320),IF(ISNUMBER(J320)=FALSE,K320,J320),I320)</f>
        <v>0.66032608684437399</v>
      </c>
      <c r="M320" s="36" t="s">
        <v>486</v>
      </c>
      <c r="N320" s="29" t="s">
        <v>2185</v>
      </c>
      <c r="O320" s="36"/>
    </row>
    <row r="321" spans="1:15" ht="12.75" customHeight="1" x14ac:dyDescent="0.3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9.9999999999999995E-21</v>
      </c>
      <c r="L321" s="636">
        <f>IF(ISBLANK(I321),IF(ISNUMBER(J321)=FALSE,K321,J321),I321)</f>
        <v>9.9999999999999995E-21</v>
      </c>
      <c r="M321" s="36" t="s">
        <v>486</v>
      </c>
      <c r="N321" s="29"/>
      <c r="O321" s="36"/>
    </row>
    <row r="322" spans="1:15" ht="12.75" customHeight="1" x14ac:dyDescent="0.3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3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1E+20</v>
      </c>
      <c r="L323" s="636">
        <f t="shared" ref="L323:L330" si="18">IF(ISBLANK(I323),IF(ISNUMBER(J323)=FALSE,K323,J323),I323)</f>
        <v>1E+20</v>
      </c>
      <c r="M323" s="36" t="s">
        <v>4051</v>
      </c>
      <c r="N323" s="29"/>
      <c r="O323" s="36"/>
    </row>
    <row r="324" spans="1:15" ht="12.75" customHeight="1" x14ac:dyDescent="0.3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1.944E+20</v>
      </c>
      <c r="L324" s="636">
        <f t="shared" si="18"/>
        <v>1.944E+20</v>
      </c>
      <c r="M324" s="36" t="s">
        <v>4052</v>
      </c>
      <c r="N324" s="29" t="s">
        <v>924</v>
      </c>
      <c r="O324" s="36"/>
    </row>
    <row r="325" spans="1:15" ht="12.75" customHeight="1" x14ac:dyDescent="0.3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0.97560838548675621</v>
      </c>
      <c r="L325" s="636">
        <f t="shared" si="18"/>
        <v>0.97560838548675621</v>
      </c>
      <c r="M325" s="36" t="s">
        <v>486</v>
      </c>
      <c r="N325" s="29"/>
      <c r="O325" s="36"/>
    </row>
    <row r="326" spans="1:15" ht="12.75" customHeight="1" x14ac:dyDescent="0.3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0.97560838548675621</v>
      </c>
      <c r="L326" s="636">
        <f t="shared" si="18"/>
        <v>0.97560838548675621</v>
      </c>
      <c r="M326" s="36" t="s">
        <v>486</v>
      </c>
      <c r="N326" s="29"/>
      <c r="O326" s="36"/>
    </row>
    <row r="327" spans="1:15" ht="12.75" customHeight="1" x14ac:dyDescent="0.3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5000</v>
      </c>
      <c r="L327" s="636">
        <f t="shared" si="18"/>
        <v>5000</v>
      </c>
      <c r="M327" s="36" t="s">
        <v>1498</v>
      </c>
      <c r="N327" s="29"/>
      <c r="O327" s="36"/>
    </row>
    <row r="328" spans="1:15" ht="12.75" customHeight="1" x14ac:dyDescent="0.3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5000</v>
      </c>
      <c r="L328" s="636">
        <f t="shared" si="18"/>
        <v>5000</v>
      </c>
      <c r="M328" s="36" t="s">
        <v>1498</v>
      </c>
      <c r="N328" s="29"/>
      <c r="O328" s="36"/>
    </row>
    <row r="329" spans="1:15" ht="12.75" customHeight="1" x14ac:dyDescent="0.3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3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3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3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3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1.44</v>
      </c>
      <c r="L333" s="636">
        <f>IF(ISBLANK(I333),IF(ISNUMBER(J333)=FALSE,K333,J333),I333)</f>
        <v>1.44</v>
      </c>
      <c r="M333" s="36" t="s">
        <v>1498</v>
      </c>
      <c r="N333" s="29"/>
      <c r="O333" s="36"/>
    </row>
    <row r="334" spans="1:15" ht="12.75" customHeight="1" x14ac:dyDescent="0.3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1.44</v>
      </c>
      <c r="L334" s="636">
        <f>IF(ISBLANK(I334),IF(ISNUMBER(J334)=FALSE,K334,J334),I334)</f>
        <v>1.44</v>
      </c>
      <c r="M334" s="36" t="s">
        <v>1498</v>
      </c>
      <c r="N334" s="29"/>
      <c r="O334" s="36"/>
    </row>
    <row r="335" spans="1:15" ht="12.75" customHeight="1" x14ac:dyDescent="0.3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3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3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1250.7999999999997</v>
      </c>
      <c r="L337" s="636">
        <f t="shared" ref="L337:L344" si="19">IF(ISBLANK(I337),IF(ISNUMBER(J337)=FALSE,K337,J337),I337)</f>
        <v>1250.7999999999997</v>
      </c>
      <c r="M337" s="36" t="s">
        <v>486</v>
      </c>
      <c r="N337" s="29"/>
      <c r="O337" s="36"/>
    </row>
    <row r="338" spans="1:15" ht="12.75" customHeight="1" x14ac:dyDescent="0.3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2500</v>
      </c>
      <c r="L338" s="636">
        <f t="shared" si="19"/>
        <v>2500</v>
      </c>
      <c r="M338" s="36" t="s">
        <v>1498</v>
      </c>
      <c r="N338" s="29"/>
      <c r="O338" s="36"/>
    </row>
    <row r="339" spans="1:15" ht="12.75" customHeight="1" x14ac:dyDescent="0.3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3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1500.2000000000003</v>
      </c>
      <c r="L340" s="636">
        <f t="shared" si="19"/>
        <v>1500.2000000000003</v>
      </c>
      <c r="M340" s="29" t="s">
        <v>486</v>
      </c>
      <c r="N340" s="29"/>
      <c r="O340" s="36"/>
    </row>
    <row r="341" spans="1:15" ht="12.75" customHeight="1" x14ac:dyDescent="0.3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1.3331555792560991E-4</v>
      </c>
      <c r="L341" s="636">
        <f t="shared" si="19"/>
        <v>1.3331555792560991E-4</v>
      </c>
      <c r="M341" s="29" t="s">
        <v>486</v>
      </c>
      <c r="N341" s="29"/>
      <c r="O341" s="36"/>
    </row>
    <row r="342" spans="1:15" ht="12.75" customHeight="1" x14ac:dyDescent="0.3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0.99986668444207449</v>
      </c>
      <c r="L342" s="636">
        <f t="shared" si="19"/>
        <v>0.99986668444207449</v>
      </c>
      <c r="M342" s="5" t="s">
        <v>486</v>
      </c>
      <c r="N342" s="29"/>
      <c r="O342" s="36"/>
    </row>
    <row r="343" spans="1:15" ht="12.75" customHeight="1" x14ac:dyDescent="0.3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1000</v>
      </c>
      <c r="L343" s="636">
        <f t="shared" si="19"/>
        <v>1000</v>
      </c>
      <c r="M343" s="36" t="s">
        <v>1498</v>
      </c>
      <c r="N343" s="29"/>
      <c r="O343" s="36"/>
    </row>
    <row r="344" spans="1:15" ht="12.75" customHeight="1" x14ac:dyDescent="0.3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3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3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3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3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5.6611929853087981E-6</v>
      </c>
      <c r="L348" s="636">
        <f t="shared" ref="L348:L361" si="20">IF(ISBLANK(I348),IF(ISNUMBER(J348)=FALSE,K348,J348),I348)</f>
        <v>5.6611929853087981E-6</v>
      </c>
      <c r="M348" s="29" t="s">
        <v>1488</v>
      </c>
      <c r="N348" s="29"/>
      <c r="O348" s="36"/>
    </row>
    <row r="349" spans="1:15" ht="12.75" customHeight="1" x14ac:dyDescent="0.3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2.4262255649440315E-6</v>
      </c>
      <c r="L349" s="636">
        <f t="shared" si="20"/>
        <v>2.4262255649440315E-6</v>
      </c>
      <c r="M349" s="29" t="s">
        <v>1488</v>
      </c>
      <c r="N349" s="29"/>
      <c r="O349" s="36"/>
    </row>
    <row r="350" spans="1:15" ht="12.75" customHeight="1" x14ac:dyDescent="0.3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4.627967164014931E-25</v>
      </c>
      <c r="L350" s="636">
        <f t="shared" si="20"/>
        <v>4.627967164014931E-25</v>
      </c>
      <c r="M350" s="29" t="s">
        <v>1488</v>
      </c>
      <c r="N350" s="29"/>
      <c r="O350" s="36"/>
    </row>
    <row r="351" spans="1:15" ht="12.75" customHeight="1" x14ac:dyDescent="0.3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1.7749985885522155E-25</v>
      </c>
      <c r="L351" s="636">
        <f t="shared" si="20"/>
        <v>1.7749985885522155E-25</v>
      </c>
      <c r="M351" s="29" t="s">
        <v>1488</v>
      </c>
      <c r="N351" s="29"/>
      <c r="O351" s="36"/>
    </row>
    <row r="352" spans="1:15" ht="12.75" customHeight="1" x14ac:dyDescent="0.3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8.0874185496354908E-6</v>
      </c>
      <c r="L352" s="636">
        <f t="shared" si="20"/>
        <v>8.0874185496354908E-6</v>
      </c>
      <c r="M352" s="29" t="s">
        <v>1555</v>
      </c>
      <c r="N352" s="29"/>
      <c r="O352" s="36"/>
    </row>
    <row r="353" spans="1:15" ht="12.75" customHeight="1" x14ac:dyDescent="0.3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8.4871423050180791E-6</v>
      </c>
      <c r="L353" s="636">
        <f t="shared" si="20"/>
        <v>8.4871423050180791E-6</v>
      </c>
      <c r="M353" s="29" t="s">
        <v>1488</v>
      </c>
      <c r="N353" s="29"/>
      <c r="O353" s="36"/>
    </row>
    <row r="354" spans="1:15" ht="12.75" customHeight="1" x14ac:dyDescent="0.3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1.3997237552127508E-6</v>
      </c>
      <c r="L354" s="636">
        <f t="shared" si="20"/>
        <v>1.3997237552127508E-6</v>
      </c>
      <c r="M354" s="29" t="s">
        <v>1488</v>
      </c>
      <c r="N354" s="29"/>
      <c r="O354" s="36"/>
    </row>
    <row r="355" spans="1:15" ht="12.75" customHeight="1" x14ac:dyDescent="0.3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11.668660335587274</v>
      </c>
      <c r="L355" s="636">
        <f t="shared" si="20"/>
        <v>11.668660335587274</v>
      </c>
      <c r="M355" s="29" t="s">
        <v>1488</v>
      </c>
      <c r="N355" s="29"/>
      <c r="O355" s="36"/>
    </row>
    <row r="356" spans="1:15" ht="12.75" customHeight="1" x14ac:dyDescent="0.3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3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3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9.99999999830163E-4</v>
      </c>
      <c r="L358" s="636">
        <f t="shared" si="20"/>
        <v>9.99999999830163E-4</v>
      </c>
      <c r="M358" s="29" t="s">
        <v>1490</v>
      </c>
      <c r="N358" s="29"/>
      <c r="O358" s="36"/>
    </row>
    <row r="359" spans="1:15" ht="12.75" customHeight="1" x14ac:dyDescent="0.3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9.0734812372916265E-2</v>
      </c>
      <c r="L359" s="636">
        <f t="shared" si="20"/>
        <v>9.0734812372916265E-2</v>
      </c>
      <c r="M359" s="29" t="s">
        <v>1490</v>
      </c>
      <c r="N359" s="29" t="s">
        <v>3910</v>
      </c>
      <c r="O359" s="36"/>
    </row>
    <row r="360" spans="1:15" ht="12.75" customHeight="1" x14ac:dyDescent="0.3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11668.569201051147</v>
      </c>
      <c r="L360" s="636">
        <f t="shared" si="20"/>
        <v>11668.569201051147</v>
      </c>
      <c r="M360" s="29" t="s">
        <v>1490</v>
      </c>
      <c r="N360" s="29"/>
      <c r="O360" s="36"/>
    </row>
    <row r="361" spans="1:15" ht="12.75" customHeight="1" x14ac:dyDescent="0.3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3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3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3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8.0565082398918567E-13</v>
      </c>
      <c r="L364" s="636">
        <f t="shared" si="21"/>
        <v>8.0565082398918567E-13</v>
      </c>
      <c r="M364" s="36" t="s">
        <v>4047</v>
      </c>
      <c r="N364" s="29"/>
      <c r="O364" s="36"/>
    </row>
    <row r="365" spans="1:15" ht="12.75" customHeight="1" x14ac:dyDescent="0.3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1.7794679957205657E-13</v>
      </c>
      <c r="L365" s="636">
        <f>IF(ISBLANK(I365),IF(ISNUMBER(J365)=FALSE,K365,J365),I365)</f>
        <v>1.7794679957205657E-13</v>
      </c>
      <c r="M365" s="36" t="s">
        <v>4047</v>
      </c>
      <c r="N365" s="29"/>
      <c r="O365" s="36"/>
    </row>
    <row r="366" spans="1:15" ht="12.75" customHeight="1" x14ac:dyDescent="0.3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4.6279671640149306E-23</v>
      </c>
      <c r="L366" s="636">
        <f t="shared" si="21"/>
        <v>4.6279671640149306E-23</v>
      </c>
      <c r="M366" s="36" t="s">
        <v>4047</v>
      </c>
      <c r="N366" s="29"/>
      <c r="O366" s="36"/>
    </row>
    <row r="367" spans="1:15" ht="12.75" customHeight="1" x14ac:dyDescent="0.3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8.8749929427610786E-27</v>
      </c>
      <c r="L367" s="636">
        <f>IF(ISBLANK(I367),IF(ISNUMBER(J367)=FALSE,K367,J367),I367)</f>
        <v>8.8749929427610786E-27</v>
      </c>
      <c r="M367" s="36" t="s">
        <v>4047</v>
      </c>
      <c r="N367" s="29"/>
      <c r="O367" s="36"/>
    </row>
    <row r="368" spans="1:15" ht="12.75" customHeight="1" x14ac:dyDescent="0.3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4.7436730073880193E-3</v>
      </c>
      <c r="L368" s="636">
        <f t="shared" si="21"/>
        <v>4.7436730073880193E-3</v>
      </c>
      <c r="M368" s="29" t="s">
        <v>1490</v>
      </c>
      <c r="N368" s="29"/>
      <c r="O368" s="36"/>
    </row>
    <row r="369" spans="1:15" ht="12.75" customHeight="1" x14ac:dyDescent="0.3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5.4415788550341428E-6</v>
      </c>
      <c r="L369" s="636">
        <f t="shared" si="21"/>
        <v>5.4415788550341428E-6</v>
      </c>
      <c r="M369" s="29" t="s">
        <v>1490</v>
      </c>
      <c r="N369" s="29"/>
      <c r="O369" s="36"/>
    </row>
    <row r="370" spans="1:15" ht="12.75" customHeight="1" x14ac:dyDescent="0.3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3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3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9.9999999999999991E-22</v>
      </c>
      <c r="L372" s="636">
        <f>IF(ISBLANK(I372),IF(ISNUMBER(J372)=FALSE,K372,J372),I372)</f>
        <v>9.9999999999999991E-22</v>
      </c>
      <c r="M372" s="29" t="s">
        <v>1490</v>
      </c>
      <c r="N372" s="29" t="s">
        <v>1415</v>
      </c>
      <c r="O372" s="36"/>
    </row>
    <row r="373" spans="1:15" ht="12.75" customHeight="1" x14ac:dyDescent="0.3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3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3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2.4420331441724265E-10</v>
      </c>
      <c r="L375" s="636">
        <f t="shared" ref="L375:L381" si="22">IF(ISBLANK(I375),IF(ISNUMBER(J375)=FALSE,K375,J375),I375)</f>
        <v>2.4420331441724265E-10</v>
      </c>
      <c r="M375" s="29" t="s">
        <v>1488</v>
      </c>
      <c r="N375" s="29"/>
      <c r="O375" s="36"/>
    </row>
    <row r="376" spans="1:15" ht="12.75" customHeight="1" x14ac:dyDescent="0.3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1.0375943971210938E-8</v>
      </c>
      <c r="L376" s="636">
        <f t="shared" si="22"/>
        <v>1.0375943971210938E-8</v>
      </c>
      <c r="M376" s="29" t="s">
        <v>1488</v>
      </c>
      <c r="N376" s="29"/>
      <c r="O376" s="36"/>
    </row>
    <row r="377" spans="1:15" ht="12.75" customHeight="1" x14ac:dyDescent="0.3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7.0577588290635961E-7</v>
      </c>
      <c r="L377" s="636">
        <f t="shared" si="22"/>
        <v>7.0577588290635961E-7</v>
      </c>
      <c r="M377" s="36" t="s">
        <v>4047</v>
      </c>
      <c r="N377" s="325"/>
      <c r="O377" s="36"/>
    </row>
    <row r="378" spans="1:15" ht="12.75" customHeight="1" x14ac:dyDescent="0.3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3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3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3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3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3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2.6834060345368403E-8</v>
      </c>
      <c r="L383" s="636">
        <f>IF(ISBLANK(I383),IF(ISNUMBER(J383)=FALSE,K383,J383),I383)</f>
        <v>2.6834060345368403E-8</v>
      </c>
      <c r="M383" s="36" t="s">
        <v>4047</v>
      </c>
      <c r="N383" s="29"/>
      <c r="O383" s="36"/>
    </row>
    <row r="384" spans="1:15" ht="12.75" customHeight="1" x14ac:dyDescent="0.3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2.1989886868443805E-11</v>
      </c>
      <c r="L384" s="636">
        <f>IF(ISBLANK(I384),IF(ISNUMBER(J384)=FALSE,K384,J384),I384)</f>
        <v>2.1989886868443805E-11</v>
      </c>
      <c r="M384" s="36" t="s">
        <v>4047</v>
      </c>
      <c r="N384" s="29"/>
      <c r="O384" s="36"/>
    </row>
    <row r="385" spans="1:15" ht="12.75" customHeight="1" x14ac:dyDescent="0.3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3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3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3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1.9876600156659107E-10</v>
      </c>
      <c r="L388" s="636">
        <f>IF(ISBLANK(I388),IF(ISNUMBER(J388)=FALSE,K388,J388),I388)</f>
        <v>1.9876600156659107E-10</v>
      </c>
      <c r="M388" s="29" t="s">
        <v>1488</v>
      </c>
      <c r="N388" s="29"/>
      <c r="O388" s="36"/>
    </row>
    <row r="389" spans="1:15" ht="12.75" customHeight="1" x14ac:dyDescent="0.3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3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3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3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3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3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3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3.663258818281463E-10</v>
      </c>
      <c r="L395" s="636">
        <f t="shared" ref="L395:L410" si="23">IF(ISBLANK(I395),IF(ISNUMBER(J395)=FALSE,K395,J395),I395)</f>
        <v>3.663258818281463E-10</v>
      </c>
      <c r="M395" s="29" t="s">
        <v>1488</v>
      </c>
      <c r="N395" s="29"/>
      <c r="O395" s="36"/>
    </row>
    <row r="396" spans="1:15" ht="12.75" customHeight="1" x14ac:dyDescent="0.3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9.7560838548675609E-21</v>
      </c>
      <c r="L396" s="636">
        <f t="shared" si="23"/>
        <v>9.7560838548675609E-21</v>
      </c>
      <c r="M396" s="29" t="s">
        <v>1488</v>
      </c>
      <c r="N396" s="29"/>
      <c r="O396" s="36"/>
    </row>
    <row r="397" spans="1:15" ht="12.75" customHeight="1" x14ac:dyDescent="0.3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9.7560838548675609E-21</v>
      </c>
      <c r="L397" s="636">
        <f t="shared" si="23"/>
        <v>9.7560838548675609E-21</v>
      </c>
      <c r="M397" s="29" t="s">
        <v>1488</v>
      </c>
      <c r="N397" s="29"/>
      <c r="O397" s="36"/>
    </row>
    <row r="398" spans="1:15" ht="12.75" customHeight="1" x14ac:dyDescent="0.3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2.1139861422509831E-12</v>
      </c>
      <c r="L398" s="636">
        <f t="shared" si="23"/>
        <v>2.1139861422509831E-12</v>
      </c>
      <c r="M398" s="29" t="s">
        <v>1488</v>
      </c>
      <c r="N398" s="29"/>
      <c r="O398" s="36"/>
    </row>
    <row r="399" spans="1:15" ht="12.75" customHeight="1" x14ac:dyDescent="0.3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1.17637094649061E-12</v>
      </c>
      <c r="L399" s="636">
        <f t="shared" si="23"/>
        <v>1.17637094649061E-12</v>
      </c>
      <c r="M399" s="29" t="s">
        <v>1488</v>
      </c>
      <c r="N399" s="29"/>
      <c r="O399" s="36"/>
    </row>
    <row r="400" spans="1:15" ht="12.75" customHeight="1" x14ac:dyDescent="0.3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3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1.6983692230354561E-30</v>
      </c>
      <c r="L401" s="636">
        <f t="shared" si="23"/>
        <v>1.6983692230354561E-30</v>
      </c>
      <c r="M401" s="36" t="s">
        <v>1488</v>
      </c>
      <c r="N401" s="29"/>
      <c r="O401" s="36"/>
    </row>
    <row r="402" spans="1:15" ht="12.75" customHeight="1" x14ac:dyDescent="0.3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3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3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9.7560838548675609E-21</v>
      </c>
      <c r="L404" s="636">
        <f t="shared" si="23"/>
        <v>9.7560838548675609E-21</v>
      </c>
      <c r="M404" s="36" t="s">
        <v>1488</v>
      </c>
      <c r="N404" s="29"/>
      <c r="O404" s="36"/>
    </row>
    <row r="405" spans="1:15" ht="12.75" customHeight="1" x14ac:dyDescent="0.3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9.7560838548675609E-21</v>
      </c>
      <c r="L405" s="636">
        <f t="shared" si="23"/>
        <v>9.7560838548675609E-21</v>
      </c>
      <c r="M405" s="36" t="s">
        <v>1488</v>
      </c>
      <c r="N405" s="29"/>
      <c r="O405" s="36"/>
    </row>
    <row r="406" spans="1:15" ht="12.75" customHeight="1" x14ac:dyDescent="0.3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3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3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3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9.9999999999999995E-21</v>
      </c>
      <c r="L409" s="636">
        <f t="shared" si="23"/>
        <v>9.9999999999999995E-21</v>
      </c>
      <c r="M409" s="36" t="s">
        <v>1488</v>
      </c>
      <c r="N409" s="29"/>
      <c r="O409" s="36"/>
    </row>
    <row r="410" spans="1:15" ht="12.75" customHeight="1" x14ac:dyDescent="0.3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9.9999999999999995E-21</v>
      </c>
      <c r="L410" s="636">
        <f t="shared" si="23"/>
        <v>9.9999999999999995E-21</v>
      </c>
      <c r="M410" s="36" t="s">
        <v>1488</v>
      </c>
      <c r="N410" s="29"/>
      <c r="O410" s="36"/>
    </row>
    <row r="411" spans="1:15" ht="12.75" customHeight="1" x14ac:dyDescent="0.3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3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3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3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09375" defaultRowHeight="12.75" customHeight="1" x14ac:dyDescent="0.3"/>
  <cols>
    <col min="1" max="1" width="2.33203125" customWidth="1"/>
    <col min="2" max="2" width="31.44140625" customWidth="1"/>
    <col min="3" max="4" width="9.109375" customWidth="1"/>
    <col min="5" max="5" width="9.109375" style="137" customWidth="1"/>
    <col min="6" max="13" width="9.109375" customWidth="1"/>
    <col min="14" max="14" width="9.109375" style="137" customWidth="1"/>
    <col min="15" max="36" width="9.109375" customWidth="1"/>
    <col min="37" max="16384" width="9.109375" style="26"/>
  </cols>
  <sheetData>
    <row r="1" spans="2:36" ht="12.75" customHeight="1" x14ac:dyDescent="0.3">
      <c r="B1" s="419" t="s">
        <v>271</v>
      </c>
    </row>
    <row r="2" spans="2:36" ht="12.75" customHeight="1" x14ac:dyDescent="0.3">
      <c r="B2" s="61"/>
    </row>
    <row r="3" spans="2:36" ht="12.75" customHeight="1" x14ac:dyDescent="0.3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3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3">
      <c r="B5" s="141" t="s">
        <v>1209</v>
      </c>
      <c r="C5" s="72" t="s">
        <v>532</v>
      </c>
      <c r="D5" s="372">
        <f>E.aR</f>
        <v>2.6042864638440033</v>
      </c>
      <c r="E5" s="372">
        <v>0</v>
      </c>
      <c r="F5" s="372">
        <f>E.w1R</f>
        <v>2.6042864638440033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2.6042864638440033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3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3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3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3">
      <c r="B9" s="146" t="s">
        <v>2337</v>
      </c>
      <c r="C9" s="144"/>
      <c r="D9" s="378">
        <f>-k.aR-SUM(D10:D42)</f>
        <v>-1.6286322370046713E-5</v>
      </c>
      <c r="E9" s="179">
        <f>k.w0R.aR</f>
        <v>1.8071803644175064E-25</v>
      </c>
      <c r="F9" s="179">
        <f>k.w1R.aR</f>
        <v>5.6176697390230937E-24</v>
      </c>
      <c r="G9" s="179">
        <f>k.w2R.aR</f>
        <v>1.7675106072712202E-24</v>
      </c>
      <c r="H9" s="376">
        <v>0</v>
      </c>
      <c r="I9" s="376">
        <v>0</v>
      </c>
      <c r="J9" s="179">
        <f>k.s1R.aR</f>
        <v>6.7790674133494165E-26</v>
      </c>
      <c r="K9" s="179">
        <f>k.s2R.aR</f>
        <v>3.0848433284968799E-26</v>
      </c>
      <c r="L9" s="179">
        <f>k.s3R.aR</f>
        <v>6.7790674133494165E-26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3">
      <c r="B10" s="146" t="s">
        <v>2338</v>
      </c>
      <c r="C10" s="144"/>
      <c r="D10" s="179">
        <f>k.aR.w0R</f>
        <v>1.7089765072772757E-8</v>
      </c>
      <c r="E10" s="378">
        <f>-k.w0R-SUM(E9,E11:E41)</f>
        <v>-2.3972602739766536E-9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9.8488747346122823E-12</v>
      </c>
      <c r="K10" s="655">
        <f>k.s2R.w0R</f>
        <v>4.4817721473666332E-12</v>
      </c>
      <c r="L10" s="655">
        <f>k.s3R.w0R</f>
        <v>9.8488747346122823E-12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3">
      <c r="B11" s="146" t="s">
        <v>2339</v>
      </c>
      <c r="C11" s="144"/>
      <c r="D11" s="179">
        <f>k.aR.w1R</f>
        <v>1.8798741580050034E-7</v>
      </c>
      <c r="E11" s="179">
        <f>k.w0R.w1R</f>
        <v>2.3972602739726025E-9</v>
      </c>
      <c r="F11" s="378">
        <f>-k.w1R-SUM(F9:F10,F12:F41)</f>
        <v>-7.5409620799098822E-7</v>
      </c>
      <c r="G11" s="376">
        <v>0</v>
      </c>
      <c r="H11" s="179">
        <f>k.sd1R.w1R</f>
        <v>2.6772813157749081E-8</v>
      </c>
      <c r="I11" s="376">
        <v>0</v>
      </c>
      <c r="J11" s="179">
        <f>k.s1R.w1R</f>
        <v>1.0833762208073512E-10</v>
      </c>
      <c r="K11" s="179">
        <f>k.s2R.w1R</f>
        <v>4.9299493621032966E-11</v>
      </c>
      <c r="L11" s="179">
        <f>k.s3R.w1R</f>
        <v>1.0833762208073512E-10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3">
      <c r="B12" s="146" t="s">
        <v>2340</v>
      </c>
      <c r="C12" s="144"/>
      <c r="D12" s="179">
        <f>k.aR.w2R</f>
        <v>2.9907275797826093E-8</v>
      </c>
      <c r="E12" s="179">
        <f>k.w0R.w2R</f>
        <v>0</v>
      </c>
      <c r="F12" s="179">
        <f>k.w1R.w2R</f>
        <v>7.26442507264425E-8</v>
      </c>
      <c r="G12" s="378">
        <f>-k.w2R-SUM(G9:G11,G13:G41)</f>
        <v>-1.4431154463799696E-6</v>
      </c>
      <c r="H12" s="376">
        <v>0</v>
      </c>
      <c r="I12" s="179">
        <f>k.sd2R.w2R</f>
        <v>8.2647246240098567E-9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3">
      <c r="B13" s="146" t="s">
        <v>2341</v>
      </c>
      <c r="C13" s="144"/>
      <c r="D13" s="376">
        <v>0</v>
      </c>
      <c r="E13" s="179">
        <v>0</v>
      </c>
      <c r="F13" s="179">
        <f>k.w1R.sd1R</f>
        <v>6.814519572645419E-7</v>
      </c>
      <c r="G13" s="376">
        <v>0</v>
      </c>
      <c r="H13" s="378">
        <f>-k.sd1R-SUM(H9:H12,H14:H41)</f>
        <v>-2.966818141413738E-8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3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7.32609943251728E-8</v>
      </c>
      <c r="H14" s="376">
        <v>0</v>
      </c>
      <c r="I14" s="378">
        <f>-k.sd2R-SUM(I9:I13,I15:I41)</f>
        <v>-1.0378057957347251E-8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3">
      <c r="B15" s="146" t="s">
        <v>2343</v>
      </c>
      <c r="C15" s="144"/>
      <c r="D15" s="179">
        <f>k.aR.s1R</f>
        <v>1.8456946277505723E-6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-1.1881992732367293E-10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3">
      <c r="B16" s="146" t="s">
        <v>2344</v>
      </c>
      <c r="C16" s="144"/>
      <c r="D16" s="179">
        <f>k.aR.s2R</f>
        <v>4.1015436172234928E-6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-5.4069511005322541E-11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3">
      <c r="B17" s="146" t="s">
        <v>2345</v>
      </c>
      <c r="C17" s="144"/>
      <c r="D17" s="179">
        <f>k.aR.s3R</f>
        <v>6.8359060287058217E-7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-1.1881992732367293E-10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3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-9.4796613445334313E-6</v>
      </c>
      <c r="N18" s="179">
        <f>k.w0C.aC</f>
        <v>1.8071803644175064E-25</v>
      </c>
      <c r="O18" s="179">
        <f>k.w1C.aC</f>
        <v>5.6176697390230937E-24</v>
      </c>
      <c r="P18" s="179">
        <f>k.w2C.aC</f>
        <v>8.8375530363561007E-26</v>
      </c>
      <c r="Q18" s="376">
        <v>0</v>
      </c>
      <c r="R18" s="376">
        <v>0</v>
      </c>
      <c r="S18" s="179">
        <f>k.s1C.aC</f>
        <v>6.7790674133494165E-26</v>
      </c>
      <c r="T18" s="179">
        <f>k.s2C.aC</f>
        <v>3.0848433284968799E-26</v>
      </c>
      <c r="U18" s="179">
        <f>k.s3C.aC</f>
        <v>6.7790674133494165E-26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3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9.4383128407235164E-9</v>
      </c>
      <c r="N19" s="378">
        <f>-k.w0C-SUM(N9:N18,N20:N41)</f>
        <v>-2.3972602739766541E-9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9.8488747346122855E-12</v>
      </c>
      <c r="T19" s="179">
        <f>k.s2C.w0C</f>
        <v>4.481772147366634E-12</v>
      </c>
      <c r="U19" s="179">
        <f>k.s3C.w0C</f>
        <v>9.8488747346122855E-12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3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1.0382144124795866E-7</v>
      </c>
      <c r="N20" s="179">
        <f>k.w0C.w1C</f>
        <v>2.3972602739726029E-9</v>
      </c>
      <c r="O20" s="378">
        <f>-k.w1C-SUM(O9:O19,O21:O41)</f>
        <v>-7.5409620799098822E-7</v>
      </c>
      <c r="P20" s="376">
        <v>0</v>
      </c>
      <c r="Q20" s="179">
        <f>k.sd1C.w1C</f>
        <v>2.6793953018979758E-8</v>
      </c>
      <c r="R20" s="376">
        <v>0</v>
      </c>
      <c r="S20" s="179">
        <f>k.s1C.w1C</f>
        <v>1.0833762208073512E-10</v>
      </c>
      <c r="T20" s="179">
        <f>k.s2C.w1C</f>
        <v>4.9299493621032966E-11</v>
      </c>
      <c r="U20" s="179">
        <f>k.s3C.w1C</f>
        <v>1.0833762208073512E-10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3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4.0217939189258379E-6</v>
      </c>
      <c r="N21" s="179">
        <f>k.w0C.w2C</f>
        <v>0</v>
      </c>
      <c r="O21" s="179">
        <f>k.w1C.w2C</f>
        <v>7.2644250726442513E-8</v>
      </c>
      <c r="P21" s="378">
        <f>-k.w2C-SUM(P9:P20,P22:P41)</f>
        <v>-3.5370997230318676E-8</v>
      </c>
      <c r="Q21" s="376">
        <v>0</v>
      </c>
      <c r="R21" s="179">
        <f>k.sd2C.w2C</f>
        <v>9.4637647157566862E-9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3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6.814519572645419E-7</v>
      </c>
      <c r="P22" s="376">
        <v>0</v>
      </c>
      <c r="Q22" s="378">
        <f>-k.sd1C-SUM(Q9:Q21,Q23:Q41)</f>
        <v>-2.966818141413738E-8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3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3.6630497162586398E-9</v>
      </c>
      <c r="Q23" s="376">
        <v>0</v>
      </c>
      <c r="R23" s="378">
        <f>-k.sd2C-SUM(R9:R22,R24:R41)</f>
        <v>-1.0378057957347251E-8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3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1.0193377867451872E-6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-1.1881992732367293E-10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3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2.2651950816559713E-6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-5.4069511005322541E-11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3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3.7753251360932848E-7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-1.1881992732367293E-10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3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-9.0734039131219528E-6</v>
      </c>
      <c r="W27" s="179">
        <f>k.w2M.aM</f>
        <v>1.7675106072712201E-25</v>
      </c>
      <c r="X27" s="376">
        <v>0</v>
      </c>
      <c r="Y27" s="376">
        <v>0</v>
      </c>
      <c r="Z27" s="179">
        <f>k.sM.aM</f>
        <v>6.7790674133494165E-26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3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3.9542333973253616E-6</v>
      </c>
      <c r="W28" s="378">
        <f>-k.w2M-SUM(W9:W27,W29:W41)</f>
        <v>-2.9385441060537096E-7</v>
      </c>
      <c r="X28" s="376">
        <f>k.w3M.w2M</f>
        <v>8.3037289171706622E-9</v>
      </c>
      <c r="Y28" s="179">
        <v>0</v>
      </c>
      <c r="Z28" s="179">
        <f>k.sM.w2M</f>
        <v>1.1818649681534741E-10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3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-9.8370708008388472E-9</v>
      </c>
      <c r="Y29" s="376">
        <f>k.sdM.w3M</f>
        <v>1.0375074023028534E-8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3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2.4420331441724265E-10</v>
      </c>
      <c r="Y30" s="378">
        <f>-k.sdM-SUM(Y9:Y29,Y31:Y41)</f>
        <v>-1.0378057957347251E-8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3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3.9542333971228385E-6</v>
      </c>
      <c r="W31" s="376">
        <v>0</v>
      </c>
      <c r="X31" s="376">
        <v>0</v>
      </c>
      <c r="Y31" s="376">
        <v>0</v>
      </c>
      <c r="Z31" s="378">
        <f>-k.sM-SUM(Z9:Z30,Z32:Z41)</f>
        <v>-1.1881992732367293E-10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3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-8.7095730526739194E-6</v>
      </c>
      <c r="AB32" s="179">
        <f>k.w2A.aA</f>
        <v>2.7766982536714156E-26</v>
      </c>
      <c r="AC32" s="376">
        <v>0</v>
      </c>
      <c r="AD32" s="376">
        <v>0</v>
      </c>
      <c r="AE32" s="179">
        <f>k.sA.aA</f>
        <v>1.0649700749174345E-26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3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4.8101189247517175E-6</v>
      </c>
      <c r="AB33" s="378">
        <f>-k.w2A-SUM(AB9:AB32,AB34:AB41)</f>
        <v>-2.6926123984947596E-7</v>
      </c>
      <c r="AC33" s="376">
        <f>k.w3A.w2A</f>
        <v>8.9753746616491718E-9</v>
      </c>
      <c r="AD33" s="179">
        <v>0</v>
      </c>
      <c r="AE33" s="179">
        <f>k.sA.w2A</f>
        <v>5.7751868251914663E-11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3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-1.1180362289792766E-8</v>
      </c>
      <c r="AD34" s="376">
        <f>k.sdA.w3A</f>
        <v>1.0375943971210938E-8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3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2.4420331441724265E-10</v>
      </c>
      <c r="AD35" s="378">
        <f>-k.sdA-SUM(AD9:AD34,AD36:AD41)</f>
        <v>-1.0378057957344073E-8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3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3.2067459497947611E-6</v>
      </c>
      <c r="AB36" s="376">
        <v>0</v>
      </c>
      <c r="AC36" s="376">
        <v>0</v>
      </c>
      <c r="AD36" s="376">
        <v>0</v>
      </c>
      <c r="AE36" s="378">
        <f>-k.sA-SUM(AE9:AE35,AE37:AE41)</f>
        <v>-5.7978093432892909E-11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3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-8.4875086308999054E-6</v>
      </c>
      <c r="AG37" s="179">
        <f>k.w2T.aT</f>
        <v>4.627967164014931E-25</v>
      </c>
      <c r="AH37" s="376">
        <v>0</v>
      </c>
      <c r="AI37" s="376">
        <v>0</v>
      </c>
      <c r="AJ37" s="380">
        <f>k.sT.aT</f>
        <v>1.7749985885522155E-25</v>
      </c>
    </row>
    <row r="38" spans="1:36" ht="12.75" customHeight="1" x14ac:dyDescent="0.3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5.6611929853087981E-6</v>
      </c>
      <c r="AG38" s="378">
        <f>-k.w2T-SUM(AG9:AG37,AG39:AG41)</f>
        <v>-2.4405115581587142E-7</v>
      </c>
      <c r="AH38" s="376">
        <f>k.w3T.w2T</f>
        <v>7.5748144375595357E-9</v>
      </c>
      <c r="AI38" s="179">
        <v>0</v>
      </c>
      <c r="AJ38" s="380">
        <f>k.sT.w2T</f>
        <v>1.9876600156659107E-10</v>
      </c>
    </row>
    <row r="39" spans="1:36" ht="12.75" customHeight="1" x14ac:dyDescent="0.3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-7.8190177519865341E-9</v>
      </c>
      <c r="AI39" s="376">
        <f>k.sdT.w3T</f>
        <v>1.0375943971210938E-8</v>
      </c>
      <c r="AJ39" s="379">
        <v>0</v>
      </c>
    </row>
    <row r="40" spans="1:36" ht="12.75" customHeight="1" x14ac:dyDescent="0.3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2.4420331441724265E-10</v>
      </c>
      <c r="AI40" s="378">
        <f>-k.sdT-SUM(AI9:AI39,AI41)</f>
        <v>-1.0378057957353189E-8</v>
      </c>
      <c r="AJ40" s="379">
        <v>0</v>
      </c>
    </row>
    <row r="41" spans="1:36" ht="12.75" customHeight="1" x14ac:dyDescent="0.3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2.4262255649440315E-6</v>
      </c>
      <c r="AG41" s="373">
        <v>0</v>
      </c>
      <c r="AH41" s="373">
        <v>0</v>
      </c>
      <c r="AI41" s="373">
        <v>0</v>
      </c>
      <c r="AJ41" s="381">
        <f>-k.sT-SUM(AJ9:AJ40)</f>
        <v>-1.9994237251308187E-10</v>
      </c>
    </row>
    <row r="42" spans="1:36" ht="12.75" customHeight="1" x14ac:dyDescent="0.3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3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3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3">
      <c r="B45" s="233" t="s">
        <v>1364</v>
      </c>
      <c r="C45" s="391">
        <f>SUM(D45:AJ45)</f>
        <v>8579643341981.4209</v>
      </c>
      <c r="D45" s="370">
        <f t="array" ref="D45:AJ45">TRANSPOSE(MMULT(MINVERSE(D9:AJ41),-TRANSPOSE(D5:AJ5)))</f>
        <v>162898.24261491038</v>
      </c>
      <c r="E45" s="370">
        <v>128556537.50908683</v>
      </c>
      <c r="F45" s="370">
        <v>45293316.363353387</v>
      </c>
      <c r="G45" s="370">
        <v>2528533.1353618093</v>
      </c>
      <c r="H45" s="370">
        <v>1040347524.3717327</v>
      </c>
      <c r="I45" s="370">
        <v>17849471.687485453</v>
      </c>
      <c r="J45" s="370">
        <v>2530387099.5084152</v>
      </c>
      <c r="K45" s="370">
        <v>60522476535.361671</v>
      </c>
      <c r="L45" s="370">
        <v>937180407.2253387</v>
      </c>
      <c r="M45" s="370">
        <v>162211.92794600641</v>
      </c>
      <c r="N45" s="370">
        <v>21178203.252265774</v>
      </c>
      <c r="O45" s="370">
        <v>4393653.0945963217</v>
      </c>
      <c r="P45" s="370">
        <v>12425937227.444244</v>
      </c>
      <c r="Q45" s="370">
        <v>100918336.01325338</v>
      </c>
      <c r="R45" s="370">
        <v>4385871231.6222153</v>
      </c>
      <c r="S45" s="370">
        <v>1391591051.6064494</v>
      </c>
      <c r="T45" s="370">
        <v>6795727472.6056948</v>
      </c>
      <c r="U45" s="370">
        <v>515404093.18757379</v>
      </c>
      <c r="V45" s="370">
        <v>24870.672476120344</v>
      </c>
      <c r="W45" s="370">
        <v>64856727646.974464</v>
      </c>
      <c r="X45" s="370">
        <v>1945681858729.4399</v>
      </c>
      <c r="Y45" s="370">
        <v>45783320988.957199</v>
      </c>
      <c r="Z45" s="370">
        <v>827676349.65877712</v>
      </c>
      <c r="AA45" s="370">
        <v>1083.1778732570649</v>
      </c>
      <c r="AB45" s="370">
        <v>51955257067.873955</v>
      </c>
      <c r="AC45" s="370">
        <v>1279194398554.6187</v>
      </c>
      <c r="AD45" s="370">
        <v>30100382286.837173</v>
      </c>
      <c r="AE45" s="370">
        <v>59910149.718786307</v>
      </c>
      <c r="AF45" s="370">
        <v>1925.2052817534272</v>
      </c>
      <c r="AG45" s="370">
        <v>149227779401.01059</v>
      </c>
      <c r="AH45" s="370">
        <v>4807932497938.1494</v>
      </c>
      <c r="AI45" s="370">
        <v>113134177542.24155</v>
      </c>
      <c r="AJ45" s="371">
        <v>23361642.725579984</v>
      </c>
    </row>
    <row r="46" spans="1:36" ht="12.75" customHeight="1" x14ac:dyDescent="0.3">
      <c r="B46" s="255" t="s">
        <v>2410</v>
      </c>
      <c r="C46" s="531">
        <f>SUM(D46:AJ46)</f>
        <v>16878342126578.725</v>
      </c>
      <c r="D46" s="383">
        <f>D45</f>
        <v>162898.24261491038</v>
      </c>
      <c r="E46" s="383"/>
      <c r="F46" s="383">
        <f t="shared" ref="F46:AJ46" si="0">F45</f>
        <v>45293316.363353387</v>
      </c>
      <c r="G46" s="383">
        <f t="shared" si="0"/>
        <v>2528533.1353618093</v>
      </c>
      <c r="H46" s="383">
        <f t="shared" si="0"/>
        <v>1040347524.3717327</v>
      </c>
      <c r="I46" s="383">
        <f t="shared" si="0"/>
        <v>17849471.687485453</v>
      </c>
      <c r="J46" s="383">
        <f t="shared" si="0"/>
        <v>2530387099.5084152</v>
      </c>
      <c r="K46" s="383">
        <f t="shared" si="0"/>
        <v>60522476535.361671</v>
      </c>
      <c r="L46" s="383">
        <f t="shared" si="0"/>
        <v>937180407.2253387</v>
      </c>
      <c r="M46" s="383">
        <f t="shared" si="0"/>
        <v>162211.92794600641</v>
      </c>
      <c r="N46" s="383"/>
      <c r="O46" s="383">
        <f t="shared" si="0"/>
        <v>4393653.0945963217</v>
      </c>
      <c r="P46" s="383">
        <f t="shared" si="0"/>
        <v>12425937227.444244</v>
      </c>
      <c r="Q46" s="383">
        <f t="shared" si="0"/>
        <v>100918336.01325338</v>
      </c>
      <c r="R46" s="383">
        <f t="shared" si="0"/>
        <v>4385871231.6222153</v>
      </c>
      <c r="S46" s="383">
        <f t="shared" si="0"/>
        <v>1391591051.6064494</v>
      </c>
      <c r="T46" s="383">
        <f t="shared" si="0"/>
        <v>6795727472.6056948</v>
      </c>
      <c r="U46" s="383">
        <f t="shared" si="0"/>
        <v>515404093.18757379</v>
      </c>
      <c r="V46" s="383">
        <f t="shared" si="0"/>
        <v>24870.672476120344</v>
      </c>
      <c r="W46" s="383">
        <f>SUM(W45:X45)</f>
        <v>2010538586376.4143</v>
      </c>
      <c r="X46" s="383">
        <f>SUM(W45:X45)</f>
        <v>2010538586376.4143</v>
      </c>
      <c r="Y46" s="383">
        <f t="shared" si="0"/>
        <v>45783320988.957199</v>
      </c>
      <c r="Z46" s="383">
        <f t="shared" si="0"/>
        <v>827676349.65877712</v>
      </c>
      <c r="AA46" s="383">
        <f t="shared" si="0"/>
        <v>1083.1778732570649</v>
      </c>
      <c r="AB46" s="383">
        <f>SUM(AB45:AC45)</f>
        <v>1331149655622.4927</v>
      </c>
      <c r="AC46" s="383">
        <f>SUM(AB45:AC45)</f>
        <v>1331149655622.4927</v>
      </c>
      <c r="AD46" s="383">
        <f t="shared" si="0"/>
        <v>30100382286.837173</v>
      </c>
      <c r="AE46" s="383">
        <f t="shared" si="0"/>
        <v>59910149.718786307</v>
      </c>
      <c r="AF46" s="383">
        <f t="shared" si="0"/>
        <v>1925.2052817534272</v>
      </c>
      <c r="AG46" s="383">
        <f>SUM(AG45:AH45)</f>
        <v>4957160277339.1602</v>
      </c>
      <c r="AH46" s="383">
        <f>SUM(AG45:AH45)</f>
        <v>4957160277339.1602</v>
      </c>
      <c r="AI46" s="383">
        <f t="shared" si="0"/>
        <v>113134177542.24155</v>
      </c>
      <c r="AJ46" s="384">
        <f t="shared" si="0"/>
        <v>23361642.725579984</v>
      </c>
    </row>
    <row r="47" spans="1:36" ht="12.75" customHeight="1" x14ac:dyDescent="0.3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3">
      <c r="A48"/>
      <c r="B48" s="255" t="s">
        <v>2408</v>
      </c>
      <c r="C48" s="515">
        <f>IF(ABS(MIN(D48:AJ48))&lt;MAX(D48:AJ48),MAX(D48:AJ48),MIN(D48:AJ48))</f>
        <v>8.5269464083819067</v>
      </c>
      <c r="D48" s="515" t="str">
        <f>IF(D49&gt;0.0001,LOG(D46/D47),"")</f>
        <v/>
      </c>
      <c r="E48" s="515" t="str">
        <f t="shared" ref="E48:AJ48" si="1">IF(E49&gt;0.0001,LOG(E46/E47),"")</f>
        <v/>
      </c>
      <c r="F48" s="515" t="str">
        <f t="shared" si="1"/>
        <v/>
      </c>
      <c r="G48" s="515" t="str">
        <f t="shared" si="1"/>
        <v/>
      </c>
      <c r="H48" s="515">
        <f t="shared" si="1"/>
        <v>3.8079580193782747</v>
      </c>
      <c r="I48" s="515" t="str">
        <f t="shared" si="1"/>
        <v/>
      </c>
      <c r="J48" s="515">
        <f t="shared" si="1"/>
        <v>6.0470774062530257</v>
      </c>
      <c r="K48" s="515">
        <f t="shared" si="1"/>
        <v>3.4677179296267759</v>
      </c>
      <c r="L48" s="515">
        <f t="shared" si="1"/>
        <v>6.0470774062530257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3.8642210518546278</v>
      </c>
      <c r="Q48" s="515" t="str">
        <f t="shared" si="1"/>
        <v/>
      </c>
      <c r="R48" s="515">
        <f t="shared" si="1"/>
        <v>6.1637102232749603</v>
      </c>
      <c r="S48" s="515">
        <f t="shared" si="1"/>
        <v>5.3328603185709778</v>
      </c>
      <c r="T48" s="515">
        <f t="shared" si="1"/>
        <v>5.2346875212231936</v>
      </c>
      <c r="U48" s="515" t="str">
        <f t="shared" si="1"/>
        <v/>
      </c>
      <c r="V48" s="515" t="str">
        <f t="shared" si="1"/>
        <v/>
      </c>
      <c r="W48" s="515">
        <f t="shared" si="1"/>
        <v>5.6536084716726975</v>
      </c>
      <c r="X48" s="515">
        <f t="shared" si="1"/>
        <v>5.6536084716726975</v>
      </c>
      <c r="Y48" s="515">
        <f t="shared" si="1"/>
        <v>7.4634994746609227</v>
      </c>
      <c r="Z48" s="515" t="str">
        <f t="shared" si="1"/>
        <v/>
      </c>
      <c r="AA48" s="515" t="str">
        <f t="shared" si="1"/>
        <v/>
      </c>
      <c r="AB48" s="515">
        <f t="shared" si="1"/>
        <v>4.8183782999743201</v>
      </c>
      <c r="AC48" s="515">
        <f t="shared" si="1"/>
        <v>4.8183782999743201</v>
      </c>
      <c r="AD48" s="515">
        <f t="shared" si="1"/>
        <v>6.5881545452954349</v>
      </c>
      <c r="AE48" s="515" t="str">
        <f t="shared" si="1"/>
        <v/>
      </c>
      <c r="AF48" s="515" t="str">
        <f t="shared" si="1"/>
        <v/>
      </c>
      <c r="AG48" s="515">
        <f t="shared" si="1"/>
        <v>6.6537558219162083</v>
      </c>
      <c r="AH48" s="515">
        <f t="shared" si="1"/>
        <v>6.6537558219162083</v>
      </c>
      <c r="AI48" s="515">
        <f t="shared" si="1"/>
        <v>8.5269464083819067</v>
      </c>
      <c r="AJ48" s="516" t="str">
        <f t="shared" si="1"/>
        <v/>
      </c>
    </row>
    <row r="49" spans="1:36" s="220" customFormat="1" ht="12.75" customHeight="1" x14ac:dyDescent="0.3">
      <c r="A49"/>
      <c r="B49" s="146" t="s">
        <v>1307</v>
      </c>
      <c r="C49" s="252">
        <f>SUM(D49:AJ49)</f>
        <v>1</v>
      </c>
      <c r="D49" s="151">
        <f t="shared" ref="D49:AJ49" si="2">D45/SUM($D45:$AJ45)</f>
        <v>1.898659840763147E-8</v>
      </c>
      <c r="E49" s="151">
        <f t="shared" si="2"/>
        <v>1.4983902288809761E-5</v>
      </c>
      <c r="F49" s="151">
        <f t="shared" si="2"/>
        <v>5.2791607480612529E-6</v>
      </c>
      <c r="G49" s="151">
        <f t="shared" si="2"/>
        <v>2.9471308241792937E-7</v>
      </c>
      <c r="H49" s="151">
        <f t="shared" si="2"/>
        <v>1.2125766572150659E-4</v>
      </c>
      <c r="I49" s="151">
        <f t="shared" si="2"/>
        <v>2.0804444865610482E-6</v>
      </c>
      <c r="J49" s="151">
        <f t="shared" si="2"/>
        <v>2.9492917113778725E-4</v>
      </c>
      <c r="K49" s="151">
        <f t="shared" si="2"/>
        <v>7.0541949266371652E-3</v>
      </c>
      <c r="L49" s="151">
        <f t="shared" si="2"/>
        <v>1.0923302634732856E-4</v>
      </c>
      <c r="M49" s="151">
        <f t="shared" si="2"/>
        <v>1.8906605027773156E-8</v>
      </c>
      <c r="N49" s="151">
        <f t="shared" si="2"/>
        <v>2.4684246661673918E-6</v>
      </c>
      <c r="O49" s="151">
        <f t="shared" si="2"/>
        <v>5.1210206758800203E-7</v>
      </c>
      <c r="P49" s="151">
        <f t="shared" si="2"/>
        <v>1.4483046360030327E-3</v>
      </c>
      <c r="Q49" s="151">
        <f t="shared" si="2"/>
        <v>1.1762532775627809E-5</v>
      </c>
      <c r="R49" s="151">
        <f t="shared" si="2"/>
        <v>5.1119505284812018E-4</v>
      </c>
      <c r="S49" s="151">
        <f t="shared" si="2"/>
        <v>1.6219684153969378E-4</v>
      </c>
      <c r="T49" s="151">
        <f t="shared" si="2"/>
        <v>7.9207575440266018E-4</v>
      </c>
      <c r="U49" s="151">
        <f t="shared" si="2"/>
        <v>6.0072904273960653E-5</v>
      </c>
      <c r="V49" s="151">
        <f t="shared" si="2"/>
        <v>2.8988002746483168E-9</v>
      </c>
      <c r="W49" s="151">
        <f t="shared" si="2"/>
        <v>7.559373398381402E-3</v>
      </c>
      <c r="X49" s="151">
        <f t="shared" si="2"/>
        <v>0.22677887426962617</v>
      </c>
      <c r="Y49" s="151">
        <f t="shared" si="2"/>
        <v>5.3362732183671168E-3</v>
      </c>
      <c r="Z49" s="151">
        <f t="shared" si="2"/>
        <v>9.6469785126013154E-5</v>
      </c>
      <c r="AA49" s="151">
        <f t="shared" si="2"/>
        <v>1.2624975538982148E-10</v>
      </c>
      <c r="AB49" s="151">
        <f t="shared" si="2"/>
        <v>6.0556429908513168E-3</v>
      </c>
      <c r="AC49" s="151">
        <f t="shared" si="2"/>
        <v>0.14909645396275831</v>
      </c>
      <c r="AD49" s="151">
        <f t="shared" si="2"/>
        <v>3.5083489006532127E-3</v>
      </c>
      <c r="AE49" s="151">
        <f t="shared" si="2"/>
        <v>6.9828251980635821E-6</v>
      </c>
      <c r="AF49" s="151">
        <f t="shared" si="2"/>
        <v>2.2439222762712322E-10</v>
      </c>
      <c r="AG49" s="151">
        <f t="shared" si="2"/>
        <v>1.7393238093105542E-2</v>
      </c>
      <c r="AH49" s="151">
        <f t="shared" si="2"/>
        <v>0.5603883875233191</v>
      </c>
      <c r="AI49" s="151">
        <f t="shared" si="2"/>
        <v>1.3186349715571491E-2</v>
      </c>
      <c r="AJ49" s="253">
        <f t="shared" si="2"/>
        <v>2.7229153700676727E-6</v>
      </c>
    </row>
    <row r="50" spans="1:36" ht="12.75" customHeight="1" x14ac:dyDescent="0.3">
      <c r="B50" s="146" t="s">
        <v>1037</v>
      </c>
      <c r="C50" s="179"/>
      <c r="D50" s="179">
        <f t="shared" ref="D50:AJ50" si="3">D45/D4</f>
        <v>7.0957983453809463E-10</v>
      </c>
      <c r="E50" s="179">
        <f t="shared" si="3"/>
        <v>2.2497534673681908E-3</v>
      </c>
      <c r="F50" s="179">
        <f t="shared" si="3"/>
        <v>2.4019333040791635E-3</v>
      </c>
      <c r="G50" s="179">
        <f t="shared" si="3"/>
        <v>2.5285331353618062E-4</v>
      </c>
      <c r="H50" s="179">
        <f t="shared" si="3"/>
        <v>5.5170289288566607</v>
      </c>
      <c r="I50" s="179">
        <f t="shared" si="3"/>
        <v>0.59498238958284788</v>
      </c>
      <c r="J50" s="179">
        <f t="shared" si="3"/>
        <v>0.82003798155955621</v>
      </c>
      <c r="K50" s="179">
        <f t="shared" si="3"/>
        <v>2.2065624147001528</v>
      </c>
      <c r="L50" s="179">
        <f t="shared" si="3"/>
        <v>0.8200379815595561</v>
      </c>
      <c r="M50" s="179">
        <f t="shared" si="3"/>
        <v>2.2531781497517992E-11</v>
      </c>
      <c r="N50" s="179">
        <f t="shared" si="3"/>
        <v>2.430197972628207E-5</v>
      </c>
      <c r="O50" s="179">
        <f t="shared" si="3"/>
        <v>1.5277924731663554E-5</v>
      </c>
      <c r="P50" s="179">
        <f t="shared" si="3"/>
        <v>1.6731167885372535E-5</v>
      </c>
      <c r="Q50" s="179">
        <f t="shared" si="3"/>
        <v>3.5092045467847194E-2</v>
      </c>
      <c r="R50" s="179">
        <f t="shared" si="3"/>
        <v>3.9369665003525199E-2</v>
      </c>
      <c r="S50" s="179">
        <f t="shared" si="3"/>
        <v>2.9571299496682215E-2</v>
      </c>
      <c r="T50" s="179">
        <f t="shared" si="3"/>
        <v>1.624603030308738E-2</v>
      </c>
      <c r="U50" s="179">
        <f t="shared" si="3"/>
        <v>2.9571299496682222E-2</v>
      </c>
      <c r="V50" s="179">
        <f t="shared" si="3"/>
        <v>3.2061743132076043E-13</v>
      </c>
      <c r="W50" s="179">
        <f t="shared" si="3"/>
        <v>1.6721861816972351E-5</v>
      </c>
      <c r="X50" s="179">
        <f t="shared" si="3"/>
        <v>1.6721690183815174E-5</v>
      </c>
      <c r="Y50" s="179">
        <f t="shared" si="3"/>
        <v>3.9347363276719692E-2</v>
      </c>
      <c r="Z50" s="179">
        <f t="shared" si="3"/>
        <v>4.2679580207947185E-4</v>
      </c>
      <c r="AA50" s="179">
        <f t="shared" si="3"/>
        <v>2.5486538194283881E-14</v>
      </c>
      <c r="AB50" s="179">
        <f t="shared" si="3"/>
        <v>2.037461061485253E-5</v>
      </c>
      <c r="AC50" s="179">
        <f t="shared" si="3"/>
        <v>1.6721495405942727E-5</v>
      </c>
      <c r="AD50" s="179">
        <f t="shared" si="3"/>
        <v>3.9346904950113955E-2</v>
      </c>
      <c r="AE50" s="179">
        <f t="shared" si="3"/>
        <v>7.0482529080925061E-5</v>
      </c>
      <c r="AF50" s="179">
        <f t="shared" si="3"/>
        <v>1.5099649268654331E-14</v>
      </c>
      <c r="AG50" s="179">
        <f t="shared" si="3"/>
        <v>1.6720199372662252E-5</v>
      </c>
      <c r="AH50" s="179">
        <f t="shared" si="3"/>
        <v>1.7956797377920262E-5</v>
      </c>
      <c r="AI50" s="179">
        <f t="shared" si="3"/>
        <v>4.2253661080202259E-2</v>
      </c>
      <c r="AJ50" s="380">
        <f t="shared" si="3"/>
        <v>1.2215238026447047E-5</v>
      </c>
    </row>
    <row r="51" spans="1:36" ht="12.75" customHeight="1" x14ac:dyDescent="0.3">
      <c r="B51" s="141" t="s">
        <v>703</v>
      </c>
      <c r="C51" s="254"/>
      <c r="D51" s="385">
        <f>D50*8.314*TEMP.R</f>
        <v>1.6813423221396697E-6</v>
      </c>
      <c r="E51" s="385">
        <f>E50*Kaw.R*8.314*TEMP.R</f>
        <v>2.0359240370411098E-20</v>
      </c>
      <c r="F51" s="385">
        <f>F50*Kaw.R*8.314*TEMP.R</f>
        <v>2.1736398321301167E-20</v>
      </c>
      <c r="G51" s="385">
        <f>G50*Kaw.R*8.314*TEMP.R</f>
        <v>2.2882068917356297E-21</v>
      </c>
      <c r="H51" s="385">
        <f>H50*Kaw.R/Ksdw1.R*8.314*TEMP.R</f>
        <v>3.9915725625071501E-20</v>
      </c>
      <c r="I51" s="385">
        <f>I50*Kaw.R/Ksdw2.R*8.314*TEMP.R</f>
        <v>4.3046998883980989E-21</v>
      </c>
      <c r="J51" s="385">
        <f>J50*Kaw.R/Ks1w.R*8.314*TEMP.R</f>
        <v>4.9466530063892188E-21</v>
      </c>
      <c r="K51" s="385">
        <f>K50*Kaw.R/Ks2w.R*8.314*TEMP.R</f>
        <v>1.331047932890075E-20</v>
      </c>
      <c r="L51" s="385">
        <f>L50*Kaw.R/Ks3w.R*8.314*TEMP.R</f>
        <v>4.9466530063892188E-21</v>
      </c>
      <c r="M51" s="385">
        <f>M50*8.314*TEMP.C</f>
        <v>5.3388830940553909E-8</v>
      </c>
      <c r="N51" s="385">
        <f>N50*Kaw.C*8.314*TEMP.C</f>
        <v>2.199218065004368E-22</v>
      </c>
      <c r="O51" s="385">
        <f>O50*Kaw.C*8.314*TEMP.C</f>
        <v>1.3825823428415739E-22</v>
      </c>
      <c r="P51" s="385">
        <f>P50*Kaw.C*8.314*TEMP.C</f>
        <v>1.5140942045284764E-22</v>
      </c>
      <c r="Q51" s="385">
        <f>Q50*Kaw.C/Ksdw1.C*8.314*TEMP.C</f>
        <v>2.5389108460002331E-22</v>
      </c>
      <c r="R51" s="385">
        <f>R50*Kaw.C/Ksdw2.C*8.314*TEMP.C</f>
        <v>2.8483967847479812E-22</v>
      </c>
      <c r="S51" s="385">
        <f>S50*Kaw.C/Ks1w.C*8.314*TEMP.C</f>
        <v>1.7838071022015879E-22</v>
      </c>
      <c r="T51" s="385">
        <f>T50*Kaw.C/Ks2w.C*8.314*TEMP.C</f>
        <v>9.7999698121081539E-23</v>
      </c>
      <c r="U51" s="385">
        <f>U50*Kaw.C/Ks3w.C*8.314*TEMP.C</f>
        <v>1.7838071022015882E-22</v>
      </c>
      <c r="V51" s="385">
        <f>V50*8.314*TEMP.M</f>
        <v>7.5969979734022857E-10</v>
      </c>
      <c r="W51" s="385">
        <f>W50*Kaw.M*8.314*TEMP.M</f>
        <v>1.5132520478823773E-22</v>
      </c>
      <c r="X51" s="385">
        <f>X50*Kaw.M*8.314*TEMP.M</f>
        <v>1.5132365158663002E-22</v>
      </c>
      <c r="Y51" s="385">
        <f>Y50*Kaw.M/Ksdw.M*8.314*TEMP.M</f>
        <v>2.846783253951582E-22</v>
      </c>
      <c r="Z51" s="372">
        <f>Z50*Kaw.M/Kslw.M*8.314*TEMP.M</f>
        <v>2.5745279913201053E-24</v>
      </c>
      <c r="AA51" s="385">
        <f>AA50*8.314*TEMP.A</f>
        <v>5.5728405657933638E-11</v>
      </c>
      <c r="AB51" s="385">
        <f>AB50*Kaw.A*8.314*TEMP.A</f>
        <v>2.6729664299344333E-23</v>
      </c>
      <c r="AC51" s="385">
        <f>AC50*Kaw.A*8.314*TEMP.A</f>
        <v>2.1937104332097323E-23</v>
      </c>
      <c r="AD51" s="385">
        <f>AD50*Kaw.A/Ksdw.A*8.314*TEMP.A</f>
        <v>4.1269279850196377E-23</v>
      </c>
      <c r="AE51" s="372">
        <f>AE50*Kaw.A/Kslw.A*8.314*TEMP.A</f>
        <v>6.1636292142217774E-26</v>
      </c>
      <c r="AF51" s="385">
        <f>AF50*8.314*TEMP.T</f>
        <v>3.7410468237838449E-11</v>
      </c>
      <c r="AG51" s="385">
        <f>AG50*Kaw.T*8.314*TEMP.T</f>
        <v>4.1425497800125563E-22</v>
      </c>
      <c r="AH51" s="385">
        <f>AH50*Kaw.T*8.314*TEMP.T</f>
        <v>4.4489258393208655E-22</v>
      </c>
      <c r="AI51" s="385">
        <f>AI50*Kaw.T/Ksdw.T*8.314*TEMP.T</f>
        <v>8.3695624871921079E-22</v>
      </c>
      <c r="AJ51" s="386">
        <f>AJ50*Kaw.T/Kslw.T*8.314*TEMP.T</f>
        <v>2.0173398018704476E-25</v>
      </c>
    </row>
    <row r="52" spans="1:36" s="220" customFormat="1" ht="12.75" customHeight="1" x14ac:dyDescent="0.3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3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3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3">
      <c r="B55" s="233" t="s">
        <v>2371</v>
      </c>
      <c r="C55" s="511"/>
      <c r="D55" s="388">
        <f>SUM(E55:AJ55)-SUM(D56:D87)</f>
        <v>-2.6042267900016283</v>
      </c>
      <c r="E55" s="370">
        <f t="shared" ref="E55:AJ55" si="4">E9*E$45</f>
        <v>2.3232485030392438E-17</v>
      </c>
      <c r="F55" s="370">
        <f t="shared" si="4"/>
        <v>2.5444289271440985E-16</v>
      </c>
      <c r="G55" s="370">
        <f t="shared" si="4"/>
        <v>4.4692091375887537E-18</v>
      </c>
      <c r="H55" s="389">
        <f t="shared" si="4"/>
        <v>0</v>
      </c>
      <c r="I55" s="389">
        <f t="shared" si="4"/>
        <v>0</v>
      </c>
      <c r="J55" s="370">
        <f t="shared" si="4"/>
        <v>1.7153664729437244E-16</v>
      </c>
      <c r="K55" s="370">
        <f t="shared" si="4"/>
        <v>1.8670235796421942E-15</v>
      </c>
      <c r="L55" s="370">
        <f t="shared" si="4"/>
        <v>6.3532091590508296E-17</v>
      </c>
      <c r="M55" s="370">
        <f t="shared" si="4"/>
        <v>4.8726828896506487E-2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3">
      <c r="B56" s="146" t="s">
        <v>2372</v>
      </c>
      <c r="C56" s="144"/>
      <c r="D56" s="179">
        <f t="shared" ref="D56:D87" si="5">D10*D$45</f>
        <v>2.783892697056358E-3</v>
      </c>
      <c r="E56" s="378">
        <f>SUM(D56,F56:AJ56)-SUM(E55,E57:E87)</f>
        <v>5.2086113200289219E-13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2.4921465573137284E-2</v>
      </c>
      <c r="K56" s="376">
        <f t="shared" si="6"/>
        <v>0.27124794962583454</v>
      </c>
      <c r="L56" s="376">
        <f t="shared" si="6"/>
        <v>9.2301724344952887E-3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3">
      <c r="B57" s="146" t="s">
        <v>2373</v>
      </c>
      <c r="C57" s="144"/>
      <c r="D57" s="179">
        <f t="shared" si="5"/>
        <v>3.0622819667619944E-2</v>
      </c>
      <c r="E57" s="179">
        <f t="shared" ref="E57:E87" si="7">E11*E$45</f>
        <v>0.30818348033000265</v>
      </c>
      <c r="F57" s="378">
        <f>SUM(D57:E57,G57:AJ57)-SUM(F55:F56,F58:F87)</f>
        <v>-2.6042864638438203</v>
      </c>
      <c r="G57" s="376">
        <f t="shared" ref="G57:AJ57" si="8">G11*G$45</f>
        <v>0</v>
      </c>
      <c r="H57" s="179">
        <f t="shared" si="8"/>
        <v>27.853029889131207</v>
      </c>
      <c r="I57" s="376">
        <f t="shared" si="8"/>
        <v>0</v>
      </c>
      <c r="J57" s="179">
        <f t="shared" si="8"/>
        <v>0.27413612130451021</v>
      </c>
      <c r="K57" s="179">
        <f t="shared" si="8"/>
        <v>2.9837274458841803</v>
      </c>
      <c r="L57" s="179">
        <f t="shared" si="8"/>
        <v>0.10153189677944818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3">
      <c r="B58" s="146" t="s">
        <v>2374</v>
      </c>
      <c r="C58" s="144"/>
      <c r="D58" s="179">
        <f t="shared" si="5"/>
        <v>4.8718426688653125E-3</v>
      </c>
      <c r="E58" s="179">
        <f t="shared" si="7"/>
        <v>0</v>
      </c>
      <c r="F58" s="179">
        <f t="shared" ref="F58:F87" si="9">F12*F$45</f>
        <v>3.290299030131524</v>
      </c>
      <c r="G58" s="378">
        <f>SUM(D58:F58,H58:AJ58)-SUM(G55:G57,G59:G87)</f>
        <v>9.7699626167013776E-15</v>
      </c>
      <c r="H58" s="376">
        <f t="shared" ref="H58:N58" si="10">H12*H$45</f>
        <v>0</v>
      </c>
      <c r="I58" s="179">
        <f t="shared" si="10"/>
        <v>0.14752096818112778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0.20627338334268391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3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30.865219086809269</v>
      </c>
      <c r="G59" s="376">
        <f t="shared" ref="G59:G87" si="12">G13*G$45</f>
        <v>0</v>
      </c>
      <c r="H59" s="378">
        <f>SUM(D59:G59,I59:AJ59)-SUM(H55:H58,H60:H87)</f>
        <v>3.0121891976780617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3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0.18524285168075288</v>
      </c>
      <c r="H60" s="376">
        <f t="shared" ref="H60:H87" si="15">H14*H$45</f>
        <v>0</v>
      </c>
      <c r="I60" s="378">
        <f>SUM(D60:H60,J60:AJ60)-SUM(I55:I59,I61:I87)</f>
        <v>3.7721883499625103E-2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3">
      <c r="B61" s="146" t="s">
        <v>2377</v>
      </c>
      <c r="C61" s="144"/>
      <c r="D61" s="179">
        <f t="shared" si="5"/>
        <v>0.30066041126434945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1.6028243867017844E-3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3">
      <c r="B62" s="146" t="s">
        <v>2378</v>
      </c>
      <c r="C62" s="144"/>
      <c r="D62" s="179">
        <f t="shared" si="5"/>
        <v>0.66813424725410964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-2.5868411482559068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3">
      <c r="B63" s="146" t="s">
        <v>2379</v>
      </c>
      <c r="C63" s="144"/>
      <c r="D63" s="179">
        <f t="shared" si="5"/>
        <v>0.11135570787568495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5.936386617414191E-4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3">
      <c r="B64" s="146" t="s">
        <v>2380</v>
      </c>
      <c r="C64" s="144"/>
      <c r="D64" s="179">
        <f t="shared" si="5"/>
        <v>1.5345246974704518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5.9422427547417556E-5</v>
      </c>
      <c r="N64" s="179">
        <f>N18*N$45</f>
        <v>3.8272833071137681E-18</v>
      </c>
      <c r="O64" s="179">
        <f>O18*O$45</f>
        <v>2.4682092033278926E-17</v>
      </c>
      <c r="P64" s="179">
        <f t="shared" ref="P64:AJ64" si="25">P18*P$45</f>
        <v>1.0981487927397018E-15</v>
      </c>
      <c r="Q64" s="376">
        <f t="shared" si="25"/>
        <v>0</v>
      </c>
      <c r="R64" s="376">
        <f t="shared" si="25"/>
        <v>0</v>
      </c>
      <c r="S64" s="179">
        <f t="shared" si="25"/>
        <v>9.4336895506539272E-17</v>
      </c>
      <c r="T64" s="179">
        <f t="shared" si="25"/>
        <v>2.096375455615064E-16</v>
      </c>
      <c r="U64" s="179">
        <f t="shared" si="25"/>
        <v>3.4939590928347876E-17</v>
      </c>
      <c r="V64" s="179">
        <f t="shared" si="25"/>
        <v>3.1894455015456179E-3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3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1.5310069224513101E-3</v>
      </c>
      <c r="N65" s="378">
        <f>SUM(D65:M65,O65:AJ65)-SUM(N55:N64,N66:N87)</f>
        <v>8.5785545334005064E-14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1.37056059490793E-2</v>
      </c>
      <c r="T65" s="376">
        <f t="shared" si="27"/>
        <v>3.0456902107818453E-2</v>
      </c>
      <c r="U65" s="376">
        <f t="shared" si="27"/>
        <v>5.0761503515108514E-3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3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1.6841076146964409E-2</v>
      </c>
      <c r="N66" s="179">
        <f t="shared" ref="N66:N87" si="28">N20*N$45</f>
        <v>5.0769665330774122E-2</v>
      </c>
      <c r="O66" s="378">
        <f>SUM(D66:N66,P66:AJ66)-SUM(O55:O65,O67:O87)</f>
        <v>1.6875389974302379E-14</v>
      </c>
      <c r="P66" s="376">
        <f t="shared" ref="P66:AJ66" si="29">P20*P$45</f>
        <v>0</v>
      </c>
      <c r="Q66" s="179">
        <f t="shared" si="29"/>
        <v>2.7040011538927238</v>
      </c>
      <c r="R66" s="376">
        <f t="shared" si="29"/>
        <v>0</v>
      </c>
      <c r="S66" s="179">
        <f t="shared" si="29"/>
        <v>0.15076166543987227</v>
      </c>
      <c r="T66" s="179">
        <f t="shared" si="29"/>
        <v>0.33502592318600294</v>
      </c>
      <c r="U66" s="179">
        <f t="shared" si="29"/>
        <v>5.5837653866619361E-2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3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3.4637223726434385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0.6523829453904848</v>
      </c>
      <c r="N67" s="179">
        <f t="shared" si="28"/>
        <v>0</v>
      </c>
      <c r="O67" s="179">
        <f t="shared" ref="O67:O87" si="30">O21*O$45</f>
        <v>0.31917363700886525</v>
      </c>
      <c r="P67" s="378">
        <f>SUM(D67:O67,Q67:AJ67)-SUM(P55:P66,P68:P87)</f>
        <v>4.9283244152320549E-11</v>
      </c>
      <c r="Q67" s="376">
        <f t="shared" ref="Q67:AJ67" si="31">Q21*Q$45</f>
        <v>0</v>
      </c>
      <c r="R67" s="179">
        <f t="shared" si="31"/>
        <v>41.506853409678641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393.57565889132275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3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2.9940635008540748</v>
      </c>
      <c r="P68" s="376">
        <f t="shared" ref="P68:P87" si="32">P22*P$45</f>
        <v>0</v>
      </c>
      <c r="Q68" s="378">
        <f>SUM(D68:P68,R68:AJ68)-SUM(Q55:Q67,Q69:Q87)</f>
        <v>0.29006234696135103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3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45.516825835237306</v>
      </c>
      <c r="Q69" s="376">
        <f t="shared" ref="Q69:Q87" si="34">Q23*Q$45</f>
        <v>0</v>
      </c>
      <c r="R69" s="378">
        <f>SUM(D69:Q69,S69:AJ69)-SUM(R55:R68,R70:R87)</f>
        <v>4.0099724255586651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3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0.16534874761615195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8.8147622720027852E-4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3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0.36744166136922651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1.9588360754049239E-3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3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6.1240276894871076E-2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3.264726767408313E-4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3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0.22414217730779465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9.1107710264715092E-6</v>
      </c>
      <c r="W73" s="179">
        <f t="shared" ref="W73:AJ73" si="43">W27*W$45</f>
        <v>1.1463495406892796E-14</v>
      </c>
      <c r="X73" s="376">
        <f t="shared" si="43"/>
        <v>0</v>
      </c>
      <c r="Y73" s="376">
        <f t="shared" si="43"/>
        <v>0</v>
      </c>
      <c r="Z73" s="179">
        <f t="shared" si="43"/>
        <v>5.6108737707718139E-17</v>
      </c>
      <c r="AA73" s="179">
        <f t="shared" si="43"/>
        <v>7.4992937508225896E-4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7.6955028391636744E-4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3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393.7946920374149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9.8344443719015712E-2</v>
      </c>
      <c r="W74" s="378">
        <f>SUM(D74:V74,X74:AJ74)-SUM(W55:W73,W75:W87)</f>
        <v>2.5465851649641991E-10</v>
      </c>
      <c r="X74" s="376">
        <f t="shared" ref="X74:AJ74" si="45">X28*X$45</f>
        <v>16156.414713946013</v>
      </c>
      <c r="Y74" s="376">
        <f t="shared" si="45"/>
        <v>0</v>
      </c>
      <c r="Z74" s="179">
        <f t="shared" si="45"/>
        <v>9.7820168263085427E-2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2508.0299058993382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3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16156.580545057313</v>
      </c>
      <c r="X75" s="378">
        <f>SUM(D75:W75,Y75:AJ75)-SUM(X55:X74,X76:X87)</f>
        <v>7.7088770922273397E-9</v>
      </c>
      <c r="Y75" s="376">
        <f t="shared" ref="Y75:AJ75" si="47">Y29*Y$45</f>
        <v>475.00534428050685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2508.224310891409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3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475.1419587032305</v>
      </c>
      <c r="Y76" s="378">
        <f>SUM(D76:X76,Z76:AJ76)-SUM(Y55:Y75,Y77:Y87)</f>
        <v>0.13661442272365321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3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9.8344443713978824E-2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5.2427545089334116E-4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3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9.4340168161709363E-3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3.9679608960022095E-7</v>
      </c>
      <c r="AB78" s="179">
        <f t="shared" ref="AB78:AJ78" si="53">AB32*AB$45</f>
        <v>1.4426407156941508E-15</v>
      </c>
      <c r="AC78" s="376">
        <f t="shared" si="53"/>
        <v>0</v>
      </c>
      <c r="AD78" s="376">
        <f t="shared" si="53"/>
        <v>0</v>
      </c>
      <c r="AE78" s="179">
        <f t="shared" si="53"/>
        <v>6.380251663433057E-19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3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2508.2792725458526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5.210214387026125E-3</v>
      </c>
      <c r="AB79" s="378">
        <f>SUM(D79:AA79,AC79:AJ79)-SUM(AB55:AB78,AB80:AB87)</f>
        <v>4.0017766878008842E-11</v>
      </c>
      <c r="AC79" s="376">
        <f t="shared" ref="AC79:AJ79" si="55">AC33*AC$45</f>
        <v>11481.248992110675</v>
      </c>
      <c r="AD79" s="376">
        <f t="shared" si="55"/>
        <v>0</v>
      </c>
      <c r="AE79" s="179">
        <f t="shared" si="55"/>
        <v>3.4599230735118292E-3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3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13989.536934793947</v>
      </c>
      <c r="AC80" s="378">
        <f>SUM(D80:AB80,AD80:AJ80)-SUM(AC55:AC79,AC81:AC87)</f>
        <v>1.1059455573558807E-9</v>
      </c>
      <c r="AD80" s="376">
        <f t="shared" ref="AD80:AJ80" si="57">AD34*AD$45</f>
        <v>312.31988012025266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3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312.38351191100912</v>
      </c>
      <c r="AD81" s="378">
        <f>SUM(D81:AC81,AE81:AJ81)-SUM(AD55:AD80,AD82:AD87)</f>
        <v>6.3631790756460305E-2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3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3.4734762579743958E-3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1.3553184462566231E-5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3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1.6340196445067238E-2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7.0525252254469151E-7</v>
      </c>
      <c r="AG83" s="179">
        <f>AG37*AG$45</f>
        <v>6.9062126302674071E-14</v>
      </c>
      <c r="AH83" s="376">
        <f>AH37*AH$45</f>
        <v>0</v>
      </c>
      <c r="AI83" s="376">
        <f>AI37*AI$45</f>
        <v>0</v>
      </c>
      <c r="AJ83" s="380">
        <f>AJ37*AJ$45</f>
        <v>4.1466882864165608E-18</v>
      </c>
    </row>
    <row r="84" spans="2:36" ht="12.75" customHeight="1" x14ac:dyDescent="0.3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1.089895863634195E-2</v>
      </c>
      <c r="AG84" s="378">
        <f>SUM(D84:AF84,AH84:AJ84)-SUM(AG55:AG83,AG85:AG87)</f>
        <v>1.4551915228366852E-9</v>
      </c>
      <c r="AH84" s="376">
        <f>AH38*AH$45</f>
        <v>36419.196500193575</v>
      </c>
      <c r="AI84" s="179">
        <f>AI38*AI$45</f>
        <v>0</v>
      </c>
      <c r="AJ84" s="380">
        <f>AJ38*AJ$45</f>
        <v>4.6435003145907719E-3</v>
      </c>
    </row>
    <row r="85" spans="2:36" ht="12.75" customHeight="1" x14ac:dyDescent="0.3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2508.2535275722762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33911.182136751733</v>
      </c>
      <c r="AH85" s="378">
        <f>SUM(D85:AG85,AI85:AJ85)-SUM(AH55:AH84,AH86:AH87)</f>
        <v>4.6900822781026363E-8</v>
      </c>
      <c r="AI85" s="376">
        <f>AI39*AI$45</f>
        <v>1173.8738874073292</v>
      </c>
      <c r="AJ85" s="379">
        <f>AJ39*AJ$45</f>
        <v>0</v>
      </c>
    </row>
    <row r="86" spans="2:36" ht="12.75" customHeight="1" x14ac:dyDescent="0.3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1174.1130514908687</v>
      </c>
      <c r="AI86" s="378">
        <f>SUM(D86:AH86,AJ86)-SUM(AI55:AI85,AI87)</f>
        <v>0.23916408353943552</v>
      </c>
      <c r="AJ86" s="379">
        <f>AJ40*AJ$45</f>
        <v>0</v>
      </c>
    </row>
    <row r="87" spans="2:36" ht="12.75" customHeight="1" x14ac:dyDescent="0.3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4.6709822723554426E-3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2.7481957764666394E-5</v>
      </c>
    </row>
    <row r="88" spans="2:36" ht="12.75" customHeight="1" x14ac:dyDescent="0.3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3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3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3">
      <c r="B91" s="146" t="s">
        <v>1209</v>
      </c>
      <c r="C91" s="150">
        <f>SUM(D91:AJ91)</f>
        <v>7.8128593915320099</v>
      </c>
      <c r="D91" s="179">
        <f t="array" ref="D91:AJ91">D5:AJ5</f>
        <v>2.6042864638440033</v>
      </c>
      <c r="E91" s="179">
        <v>0</v>
      </c>
      <c r="F91" s="179">
        <v>2.6042864638440033</v>
      </c>
      <c r="G91" s="179">
        <v>0</v>
      </c>
      <c r="H91" s="179">
        <v>0</v>
      </c>
      <c r="I91" s="179">
        <v>0</v>
      </c>
      <c r="J91" s="179">
        <v>0</v>
      </c>
      <c r="K91" s="179">
        <v>2.6042864638440033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3">
      <c r="B92" s="146" t="s">
        <v>1210</v>
      </c>
      <c r="C92" s="150">
        <f>SUM(D92:AJ92)</f>
        <v>143025.36961940935</v>
      </c>
      <c r="D92" s="179">
        <f>SUM($D$55:$AJ$55)</f>
        <v>-2.5554999611051197</v>
      </c>
      <c r="E92" s="179">
        <f>SUM($D$56:$AJ$56)</f>
        <v>0.30818348033104437</v>
      </c>
      <c r="F92" s="179">
        <f>SUM($D$57:$AJ$57)</f>
        <v>28.94694518925315</v>
      </c>
      <c r="G92" s="179">
        <f>SUM($D$58:$AJ$58)</f>
        <v>3.6489652243242108</v>
      </c>
      <c r="H92" s="179">
        <f>SUM($D$59:$AJ$59)</f>
        <v>33.877408284487331</v>
      </c>
      <c r="I92" s="179">
        <f>SUM($D$60:$AJ$60)</f>
        <v>0.22296473518037799</v>
      </c>
      <c r="J92" s="179">
        <f>SUM($D$61:$AJ$61)</f>
        <v>0.30226323565105123</v>
      </c>
      <c r="K92" s="179">
        <f>SUM($D$62:$AJ$62)</f>
        <v>-1.9187069010017972</v>
      </c>
      <c r="L92" s="179">
        <f>SUM($D$63:$AJ$63)</f>
        <v>0.11194934653742637</v>
      </c>
      <c r="M92" s="179">
        <f>SUM($D$64:$AJ$64)</f>
        <v>1.5377735653995461</v>
      </c>
      <c r="N92" s="179">
        <f>SUM($D$65:$AJ$65)</f>
        <v>5.07696653309457E-2</v>
      </c>
      <c r="O92" s="179">
        <f>SUM($D$66:$AJ$66)</f>
        <v>3.3132371378629739</v>
      </c>
      <c r="P92" s="179">
        <f>SUM($D$67:$AJ$67)</f>
        <v>439.51779125609346</v>
      </c>
      <c r="Q92" s="179">
        <f>SUM($D$68:$AJ$68)</f>
        <v>3.2841258478154258</v>
      </c>
      <c r="R92" s="179">
        <f>SUM($D$69:$AJ$69)</f>
        <v>49.526798260795971</v>
      </c>
      <c r="S92" s="179">
        <f>SUM($D$70:$AJ$70)</f>
        <v>0.16623022384335223</v>
      </c>
      <c r="T92" s="179">
        <f>SUM($D$71:$AJ$71)</f>
        <v>0.36940049744463144</v>
      </c>
      <c r="U92" s="179">
        <f>SUM($D$72:$AJ$72)</f>
        <v>6.1566749571611908E-2</v>
      </c>
      <c r="V92" s="179">
        <f>SUM($D$73:$AJ$73)</f>
        <v>0.22567076773783126</v>
      </c>
      <c r="W92" s="179">
        <f>SUM($D$74:$AJ$74)</f>
        <v>19058.435476495</v>
      </c>
      <c r="X92" s="179">
        <f>SUM($D$75:$AJ$75)</f>
        <v>19139.810200236938</v>
      </c>
      <c r="Y92" s="179">
        <f>SUM($D$76:$AJ$76)</f>
        <v>475.27857312595415</v>
      </c>
      <c r="Z92" s="179">
        <f>SUM($D$77:$AJ$77)</f>
        <v>9.8868719164872165E-2</v>
      </c>
      <c r="AA92" s="179">
        <f>SUM($D$78:$AJ$78)</f>
        <v>9.4344136122619798E-3</v>
      </c>
      <c r="AB92" s="179">
        <f>SUM($D$79:$AJ$79)</f>
        <v>13989.536934794027</v>
      </c>
      <c r="AC92" s="179">
        <f>SUM($D$80:$AJ$80)</f>
        <v>14301.856814915305</v>
      </c>
      <c r="AD92" s="179">
        <f>SUM($D$81:$AJ$81)</f>
        <v>312.44714370176558</v>
      </c>
      <c r="AE92" s="179">
        <f>SUM($D$82:$AJ$82)</f>
        <v>3.4870294424369621E-3</v>
      </c>
      <c r="AF92" s="179">
        <f>SUM($D$83:$AJ$83)</f>
        <v>1.6340901697658849E-2</v>
      </c>
      <c r="AG92" s="179">
        <f>SUM($D$84:$AJ$84)</f>
        <v>36419.212042653984</v>
      </c>
      <c r="AH92" s="179">
        <f>SUM($D$85:$AJ$85)</f>
        <v>37593.309551778242</v>
      </c>
      <c r="AI92" s="179">
        <f>SUM($D$86:$AJ$86)</f>
        <v>1174.3522155744081</v>
      </c>
      <c r="AJ92" s="380">
        <f>SUM($D$87:$AJ$87)</f>
        <v>4.698464230120109E-3</v>
      </c>
    </row>
    <row r="93" spans="2:36" ht="12.75" customHeight="1" x14ac:dyDescent="0.3">
      <c r="B93" s="146" t="s">
        <v>1212</v>
      </c>
      <c r="C93" s="150">
        <f>SUM(D93:AJ93)</f>
        <v>143025.36961940932</v>
      </c>
      <c r="D93" s="179">
        <f t="shared" ref="D93:AJ93" si="61">SUM(D55:D87)</f>
        <v>4.8726828896509478E-2</v>
      </c>
      <c r="E93" s="179">
        <f t="shared" si="61"/>
        <v>0.30818348033052351</v>
      </c>
      <c r="F93" s="179">
        <f t="shared" si="61"/>
        <v>31.551231653096973</v>
      </c>
      <c r="G93" s="179">
        <f t="shared" si="61"/>
        <v>3.648965224324201</v>
      </c>
      <c r="H93" s="179">
        <f t="shared" si="61"/>
        <v>30.865219086809269</v>
      </c>
      <c r="I93" s="179">
        <f t="shared" si="61"/>
        <v>0.18524285168075288</v>
      </c>
      <c r="J93" s="179">
        <f t="shared" si="61"/>
        <v>0.30066041126434945</v>
      </c>
      <c r="K93" s="179">
        <f t="shared" si="61"/>
        <v>0.66813424725410986</v>
      </c>
      <c r="L93" s="179">
        <f t="shared" si="61"/>
        <v>0.11135570787568495</v>
      </c>
      <c r="M93" s="179">
        <f t="shared" si="61"/>
        <v>1.5377141429719987</v>
      </c>
      <c r="N93" s="179">
        <f t="shared" si="61"/>
        <v>5.0769665330859914E-2</v>
      </c>
      <c r="O93" s="179">
        <f t="shared" si="61"/>
        <v>3.313237137862957</v>
      </c>
      <c r="P93" s="179">
        <f t="shared" si="61"/>
        <v>439.51779125604418</v>
      </c>
      <c r="Q93" s="179">
        <f t="shared" si="61"/>
        <v>2.9940635008540748</v>
      </c>
      <c r="R93" s="179">
        <f t="shared" si="61"/>
        <v>45.516825835237306</v>
      </c>
      <c r="S93" s="179">
        <f t="shared" si="61"/>
        <v>0.16534874761615195</v>
      </c>
      <c r="T93" s="179">
        <f t="shared" si="61"/>
        <v>0.36744166136922651</v>
      </c>
      <c r="U93" s="179">
        <f t="shared" si="61"/>
        <v>6.1240276894871076E-2</v>
      </c>
      <c r="V93" s="179">
        <f t="shared" si="61"/>
        <v>0.22566165696680479</v>
      </c>
      <c r="W93" s="179">
        <f t="shared" si="61"/>
        <v>19058.435476494746</v>
      </c>
      <c r="X93" s="179">
        <f t="shared" si="61"/>
        <v>19139.810200229229</v>
      </c>
      <c r="Y93" s="179">
        <f t="shared" si="61"/>
        <v>475.1419587032305</v>
      </c>
      <c r="Z93" s="179">
        <f t="shared" si="61"/>
        <v>9.8344443713978824E-2</v>
      </c>
      <c r="AA93" s="179">
        <f t="shared" si="61"/>
        <v>9.4340168161723796E-3</v>
      </c>
      <c r="AB93" s="179">
        <f t="shared" si="61"/>
        <v>13989.536934793987</v>
      </c>
      <c r="AC93" s="179">
        <f t="shared" si="61"/>
        <v>14301.856814914199</v>
      </c>
      <c r="AD93" s="179">
        <f t="shared" si="61"/>
        <v>312.38351191100912</v>
      </c>
      <c r="AE93" s="179">
        <f t="shared" si="61"/>
        <v>3.4734762579743958E-3</v>
      </c>
      <c r="AF93" s="179">
        <f t="shared" si="61"/>
        <v>1.6340196445136304E-2</v>
      </c>
      <c r="AG93" s="179">
        <f t="shared" si="61"/>
        <v>36419.212042652529</v>
      </c>
      <c r="AH93" s="179">
        <f t="shared" si="61"/>
        <v>37593.309551731341</v>
      </c>
      <c r="AI93" s="179">
        <f t="shared" si="61"/>
        <v>1174.1130514908687</v>
      </c>
      <c r="AJ93" s="380">
        <f t="shared" si="61"/>
        <v>4.6709822723554426E-3</v>
      </c>
    </row>
    <row r="94" spans="2:36" ht="12.75" customHeight="1" x14ac:dyDescent="0.3">
      <c r="B94" s="152" t="s">
        <v>1211</v>
      </c>
      <c r="C94" s="150">
        <f>SUM(D94:AJ94)</f>
        <v>7.8128593915423377</v>
      </c>
      <c r="D94" s="179">
        <f>k.aR*D45</f>
        <v>5.967384237416237E-5</v>
      </c>
      <c r="E94" s="179">
        <f>k.w0R*E45</f>
        <v>5.2079903076755711E-13</v>
      </c>
      <c r="F94" s="179">
        <f>k.w1R*F45</f>
        <v>1.7111421150773008E-13</v>
      </c>
      <c r="G94" s="179">
        <f>k.w2R*G45</f>
        <v>1.0018557137167416E-14</v>
      </c>
      <c r="H94" s="179">
        <f>k.sd1R*H45</f>
        <v>3.0121891976780684</v>
      </c>
      <c r="I94" s="179">
        <f>k.sd2R*I45</f>
        <v>3.7721883499625082E-2</v>
      </c>
      <c r="J94" s="179">
        <f>k.s1R*J45</f>
        <v>1.6028243867017423E-3</v>
      </c>
      <c r="K94" s="179">
        <f>k.s2R*K45</f>
        <v>1.7445315588096949E-2</v>
      </c>
      <c r="L94" s="179">
        <f>k.s3R*L45</f>
        <v>5.9363866174138582E-4</v>
      </c>
      <c r="M94" s="179">
        <f>k.aC*M45</f>
        <v>5.9422427547864532E-5</v>
      </c>
      <c r="N94" s="179">
        <f>k.w0C*N45</f>
        <v>8.5795619117376505E-14</v>
      </c>
      <c r="O94" s="179">
        <f>k.w1C*O45</f>
        <v>1.6598839415712097E-14</v>
      </c>
      <c r="P94" s="179">
        <f>k.w2C*P45</f>
        <v>4.9234063953918674E-11</v>
      </c>
      <c r="Q94" s="179">
        <f>k.sd1C*Q45</f>
        <v>0.2900623469613508</v>
      </c>
      <c r="R94" s="179">
        <f>k.sd2C*R45</f>
        <v>4.0099724255586775</v>
      </c>
      <c r="S94" s="179">
        <f>k.s1C*S45</f>
        <v>8.8147622720020197E-4</v>
      </c>
      <c r="T94" s="179">
        <f>k.s2C*T45</f>
        <v>1.9588360754047977E-3</v>
      </c>
      <c r="U94" s="179">
        <f>k.s3C*U45</f>
        <v>3.2647267674081553E-4</v>
      </c>
      <c r="V94" s="179">
        <f>k.aM*V45</f>
        <v>9.1107710264737928E-6</v>
      </c>
      <c r="W94" s="179">
        <f>k.w2M*W45</f>
        <v>2.5697540703493418E-10</v>
      </c>
      <c r="X94" s="179">
        <f>k.w3M*X45</f>
        <v>7.7091830831956805E-9</v>
      </c>
      <c r="Y94" s="179">
        <f>k.sdM*Y45</f>
        <v>0.13661442272380497</v>
      </c>
      <c r="Z94" s="179">
        <f>k.sM*Z45</f>
        <v>5.2427545089330093E-4</v>
      </c>
      <c r="AA94" s="179">
        <f>k.aA*AA45</f>
        <v>3.967960895976304E-7</v>
      </c>
      <c r="AB94" s="179">
        <f>k.w2A*AB45</f>
        <v>4.4802271925325278E-11</v>
      </c>
      <c r="AC94" s="179">
        <f>k.w3A*AC45</f>
        <v>1.1030801986895479E-9</v>
      </c>
      <c r="AD94" s="179">
        <f>k.sdA*AD45</f>
        <v>6.3631790756431147E-2</v>
      </c>
      <c r="AE94" s="179">
        <f>k.sA*AE45</f>
        <v>1.3553184462565379E-5</v>
      </c>
      <c r="AF94" s="179">
        <f>k.aT*AF45</f>
        <v>7.0525252253852913E-7</v>
      </c>
      <c r="AG94" s="179">
        <f>k.w2T*AG45</f>
        <v>1.4558787293119374E-9</v>
      </c>
      <c r="AH94" s="179">
        <f>k.w3T*AH45</f>
        <v>4.6906592618427444E-8</v>
      </c>
      <c r="AI94" s="179">
        <f>k.sdT*AI45</f>
        <v>0.23916408353926102</v>
      </c>
      <c r="AJ94" s="374">
        <f>k.sT*AJ45</f>
        <v>2.7481957764666001E-5</v>
      </c>
    </row>
    <row r="95" spans="2:36" ht="12.75" customHeight="1" x14ac:dyDescent="0.3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09375" defaultRowHeight="15" customHeight="1" x14ac:dyDescent="0.3"/>
  <cols>
    <col min="1" max="1" width="10.44140625" style="205" customWidth="1"/>
    <col min="2" max="2" width="102" style="205" customWidth="1"/>
    <col min="3" max="3" width="5.6640625" style="205" bestFit="1" customWidth="1"/>
    <col min="4" max="16384" width="9.109375" style="205"/>
  </cols>
  <sheetData>
    <row r="1" spans="1:3" s="232" customFormat="1" ht="15" customHeight="1" x14ac:dyDescent="0.3">
      <c r="A1" s="231" t="s">
        <v>2071</v>
      </c>
      <c r="B1" s="231" t="s">
        <v>2070</v>
      </c>
      <c r="C1" s="231" t="s">
        <v>968</v>
      </c>
    </row>
    <row r="2" spans="1:3" ht="15" customHeight="1" x14ac:dyDescent="0.3">
      <c r="A2" s="207" t="s">
        <v>661</v>
      </c>
      <c r="B2" s="208">
        <f>(kwsd.water.wC*kwsd.sed.sdC)/(kwsd.water.wC+kwsd.sed.sdC)*FRw.w1C*(SYSTEMAREA.C*AREAFRAC.w1C)</f>
        <v>2452.6860702863269</v>
      </c>
      <c r="C2" s="209" t="s">
        <v>2072</v>
      </c>
    </row>
    <row r="3" spans="1:3" ht="15" customHeight="1" x14ac:dyDescent="0.3">
      <c r="A3" s="207" t="s">
        <v>1085</v>
      </c>
      <c r="B3" s="208">
        <f>(kwsd.water.wR*kwsd.sed.sdR)/(kwsd.water.wR+kwsd.sed.sdR)*FRw.w1R*(SYSTEMAREA.R*AREAFRAC.w1R)</f>
        <v>160.82506801383477</v>
      </c>
      <c r="C3" s="209" t="s">
        <v>2072</v>
      </c>
    </row>
    <row r="4" spans="1:3" ht="15" customHeight="1" x14ac:dyDescent="0.3">
      <c r="A4" s="207" t="s">
        <v>663</v>
      </c>
      <c r="B4" s="208">
        <f>(kwsd.water.wC*kwsd.sed.sdC)/(kwsd.water.wC+kwsd.sed.sdC)*FRw.w2C*(SYSTEMAREA.C*AREAFRAC.w2C)</f>
        <v>99645.868027094475</v>
      </c>
      <c r="C4" s="209" t="s">
        <v>2072</v>
      </c>
    </row>
    <row r="5" spans="1:3" ht="15" customHeight="1" x14ac:dyDescent="0.3">
      <c r="A5" s="207" t="s">
        <v>973</v>
      </c>
      <c r="B5" s="208">
        <f>(kwsd.water.wR*kwsd.sed.sdR)/(kwsd.water.wR+kwsd.sed.sdR)*FRw.w2R*(SYSTEMAREA.R*AREAFRAC.w2R)</f>
        <v>26.834060345368435</v>
      </c>
      <c r="C5" s="209" t="s">
        <v>2072</v>
      </c>
    </row>
    <row r="6" spans="1:3" ht="15" customHeight="1" x14ac:dyDescent="0.3">
      <c r="A6" s="207" t="s">
        <v>163</v>
      </c>
      <c r="B6" s="208">
        <f>(kwsd.water.wA*kwsd.sed.sdA)/(kwsd.water.wA+kwsd.sed.sdA)*FRw.w3A*(SYSTEMAREA.A*AREAFRAC.wA)</f>
        <v>684268.53880689433</v>
      </c>
      <c r="C6" s="206" t="s">
        <v>2072</v>
      </c>
    </row>
    <row r="7" spans="1:3" ht="15" customHeight="1" x14ac:dyDescent="0.3">
      <c r="A7" s="207" t="s">
        <v>165</v>
      </c>
      <c r="B7" s="208">
        <f>(kwsd.water.wM*kwsd.sed.sdM)/(kwsd.water.wM+kwsd.sed.sdM)*FRw.w3M*(SYSTEMAREA.M*AREAFRAC.wM)</f>
        <v>1040774.8625907173</v>
      </c>
      <c r="C7" s="206" t="s">
        <v>2072</v>
      </c>
    </row>
    <row r="8" spans="1:3" ht="15" customHeight="1" x14ac:dyDescent="0.3">
      <c r="A8" s="207" t="s">
        <v>158</v>
      </c>
      <c r="B8" s="208">
        <f>(kwsd.water.wT*kwsd.sed.sdT)/(kwsd.water.wT+kwsd.sed.sdT)*FRw.w3T*(SYSTEMAREA.T*AREAFRAC.wT)</f>
        <v>2394939.8858241299</v>
      </c>
      <c r="C8" s="206" t="s">
        <v>2072</v>
      </c>
    </row>
    <row r="9" spans="1:3" ht="15" customHeight="1" x14ac:dyDescent="0.3">
      <c r="A9" s="210" t="s">
        <v>494</v>
      </c>
      <c r="B9" s="208">
        <v>1E-3</v>
      </c>
      <c r="C9" s="211" t="s">
        <v>2073</v>
      </c>
    </row>
    <row r="10" spans="1:3" ht="15" customHeight="1" x14ac:dyDescent="0.3">
      <c r="A10" s="210" t="s">
        <v>460</v>
      </c>
      <c r="B10" s="208">
        <v>1E-3</v>
      </c>
      <c r="C10" s="212" t="s">
        <v>2073</v>
      </c>
    </row>
    <row r="11" spans="1:3" ht="15" customHeight="1" x14ac:dyDescent="0.3">
      <c r="A11" s="210" t="s">
        <v>960</v>
      </c>
      <c r="B11" s="208">
        <v>1E-3</v>
      </c>
      <c r="C11" s="211" t="s">
        <v>2073</v>
      </c>
    </row>
    <row r="12" spans="1:3" ht="15" customHeight="1" x14ac:dyDescent="0.3">
      <c r="A12" s="210" t="s">
        <v>121</v>
      </c>
      <c r="B12" s="208">
        <v>1E-3</v>
      </c>
      <c r="C12" s="212" t="s">
        <v>2073</v>
      </c>
    </row>
    <row r="13" spans="1:3" ht="15" customHeight="1" x14ac:dyDescent="0.3">
      <c r="A13" s="210" t="s">
        <v>954</v>
      </c>
      <c r="B13" s="213">
        <v>1E-3</v>
      </c>
      <c r="C13" s="211" t="s">
        <v>2073</v>
      </c>
    </row>
    <row r="14" spans="1:3" ht="15" customHeight="1" x14ac:dyDescent="0.3">
      <c r="A14" s="207" t="s">
        <v>1023</v>
      </c>
      <c r="B14" s="208">
        <f>(FRaerw.aA+FRaers.aA)*(tdry.A+twet.A)/twet.A*RAINrate.A*COLLECTeff.A</f>
        <v>2.6424826652427232E-2</v>
      </c>
      <c r="C14" s="212" t="s">
        <v>2073</v>
      </c>
    </row>
    <row r="15" spans="1:3" ht="15" customHeight="1" x14ac:dyDescent="0.3">
      <c r="A15" s="207" t="s">
        <v>1291</v>
      </c>
      <c r="B15" s="208">
        <f>(FRaerw.aC+FRaers.aC)*(tdry.C+twet.C)/twet.C*RAINrate.C*COLLECTeff.C</f>
        <v>7.3989514620675337E-2</v>
      </c>
      <c r="C15" s="212" t="s">
        <v>2073</v>
      </c>
    </row>
    <row r="16" spans="1:3" ht="15" customHeight="1" x14ac:dyDescent="0.3">
      <c r="A16" s="207" t="s">
        <v>547</v>
      </c>
      <c r="B16" s="208">
        <f>(FRaerw.aM+FRaers.aM)*(tdry.M+twet.M)/twet.M*RAINrate.M*COLLECTeff.M</f>
        <v>7.3989514620675337E-2</v>
      </c>
      <c r="C16" s="212" t="s">
        <v>2073</v>
      </c>
    </row>
    <row r="17" spans="1:3" ht="15" customHeight="1" x14ac:dyDescent="0.3">
      <c r="A17" s="207" t="s">
        <v>586</v>
      </c>
      <c r="B17" s="208">
        <f>(FRaerw.aR+FRaers.aR)*(tdry.R+twet.R)/twet.R*COLLECTeff.R*RAINrate.R</f>
        <v>7.3989514620675337E-2</v>
      </c>
      <c r="C17" s="212" t="s">
        <v>2073</v>
      </c>
    </row>
    <row r="18" spans="1:3" ht="15" customHeight="1" x14ac:dyDescent="0.3">
      <c r="A18" s="207" t="s">
        <v>1400</v>
      </c>
      <c r="B18" s="208">
        <f>(FRaerw.aT+FRaers.aT)*(tdry.T+twet.T)/twet.T*RAINrate.T*COLLECTeff.T</f>
        <v>0.13740909857297606</v>
      </c>
      <c r="C18" s="212" t="s">
        <v>2073</v>
      </c>
    </row>
    <row r="19" spans="1:3" ht="15" customHeight="1" x14ac:dyDescent="0.3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3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3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3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3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3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3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3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3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3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3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3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3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3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3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3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3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3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3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3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3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3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3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3">
      <c r="A42" s="210" t="s">
        <v>18</v>
      </c>
      <c r="B42" s="228">
        <v>0.6</v>
      </c>
      <c r="C42" s="206" t="s">
        <v>36</v>
      </c>
    </row>
    <row r="43" spans="1:3" ht="15" customHeight="1" x14ac:dyDescent="0.3">
      <c r="A43" s="210" t="s">
        <v>1187</v>
      </c>
      <c r="B43" s="228">
        <v>0.5</v>
      </c>
      <c r="C43" s="206" t="s">
        <v>36</v>
      </c>
    </row>
    <row r="44" spans="1:3" ht="15" customHeight="1" x14ac:dyDescent="0.3">
      <c r="A44" s="210" t="s">
        <v>1410</v>
      </c>
      <c r="B44" s="229">
        <v>0.7</v>
      </c>
      <c r="C44" s="209" t="s">
        <v>36</v>
      </c>
    </row>
    <row r="45" spans="1:3" ht="15" customHeight="1" x14ac:dyDescent="0.3">
      <c r="A45" s="206" t="s">
        <v>1445</v>
      </c>
      <c r="B45" s="229">
        <v>3714410000000</v>
      </c>
      <c r="C45" s="212" t="s">
        <v>2074</v>
      </c>
    </row>
    <row r="46" spans="1:3" ht="15" customHeight="1" x14ac:dyDescent="0.3">
      <c r="A46" s="206" t="s">
        <v>1398</v>
      </c>
      <c r="B46" s="229">
        <v>228570000000</v>
      </c>
      <c r="C46" s="212" t="s">
        <v>2074</v>
      </c>
    </row>
    <row r="47" spans="1:3" ht="15" customHeight="1" x14ac:dyDescent="0.3">
      <c r="A47" s="206" t="s">
        <v>1446</v>
      </c>
      <c r="B47" s="229">
        <v>3714410000000</v>
      </c>
      <c r="C47" s="212" t="s">
        <v>2074</v>
      </c>
    </row>
    <row r="48" spans="1:3" ht="15" customHeight="1" x14ac:dyDescent="0.3">
      <c r="A48" s="206" t="s">
        <v>1399</v>
      </c>
      <c r="B48" s="229">
        <v>1000000000</v>
      </c>
      <c r="C48" s="212" t="s">
        <v>2074</v>
      </c>
    </row>
    <row r="49" spans="1:3" ht="15" customHeight="1" x14ac:dyDescent="0.3">
      <c r="A49" s="209" t="s">
        <v>16</v>
      </c>
      <c r="B49" s="229">
        <v>40000</v>
      </c>
      <c r="C49" s="209" t="s">
        <v>2075</v>
      </c>
    </row>
    <row r="50" spans="1:3" ht="15" customHeight="1" x14ac:dyDescent="0.3">
      <c r="A50" s="210" t="s">
        <v>355</v>
      </c>
      <c r="B50" s="228">
        <v>40000</v>
      </c>
      <c r="C50" s="209" t="s">
        <v>730</v>
      </c>
    </row>
    <row r="51" spans="1:3" ht="15" customHeight="1" x14ac:dyDescent="0.3">
      <c r="A51" s="210" t="s">
        <v>307</v>
      </c>
      <c r="B51" s="228">
        <v>40000</v>
      </c>
      <c r="C51" s="209" t="s">
        <v>730</v>
      </c>
    </row>
    <row r="52" spans="1:3" ht="15" customHeight="1" x14ac:dyDescent="0.3">
      <c r="A52" s="210" t="s">
        <v>686</v>
      </c>
      <c r="B52" s="228">
        <v>40000</v>
      </c>
      <c r="C52" s="209" t="s">
        <v>730</v>
      </c>
    </row>
    <row r="53" spans="1:3" ht="15" customHeight="1" x14ac:dyDescent="0.3">
      <c r="A53" s="210" t="s">
        <v>688</v>
      </c>
      <c r="B53" s="228">
        <v>40000</v>
      </c>
      <c r="C53" s="209" t="s">
        <v>730</v>
      </c>
    </row>
    <row r="54" spans="1:3" ht="15" customHeight="1" x14ac:dyDescent="0.3">
      <c r="A54" s="210" t="s">
        <v>1160</v>
      </c>
      <c r="B54" s="228">
        <v>40000</v>
      </c>
      <c r="C54" s="209" t="s">
        <v>730</v>
      </c>
    </row>
    <row r="55" spans="1:3" ht="15" customHeight="1" x14ac:dyDescent="0.3">
      <c r="A55" s="210" t="s">
        <v>687</v>
      </c>
      <c r="B55" s="228">
        <v>40000</v>
      </c>
      <c r="C55" s="209" t="s">
        <v>730</v>
      </c>
    </row>
    <row r="56" spans="1:3" ht="15" customHeight="1" x14ac:dyDescent="0.3">
      <c r="A56" s="210" t="s">
        <v>684</v>
      </c>
      <c r="B56" s="228">
        <v>40000</v>
      </c>
      <c r="C56" s="209" t="s">
        <v>730</v>
      </c>
    </row>
    <row r="57" spans="1:3" ht="15" customHeight="1" x14ac:dyDescent="0.3">
      <c r="A57" s="210" t="s">
        <v>689</v>
      </c>
      <c r="B57" s="228">
        <v>40000</v>
      </c>
      <c r="C57" s="209" t="s">
        <v>730</v>
      </c>
    </row>
    <row r="58" spans="1:3" ht="15" customHeight="1" x14ac:dyDescent="0.3">
      <c r="A58" s="210" t="s">
        <v>1141</v>
      </c>
      <c r="B58" s="229">
        <v>40000</v>
      </c>
      <c r="C58" s="209" t="s">
        <v>730</v>
      </c>
    </row>
    <row r="59" spans="1:3" ht="15" customHeight="1" x14ac:dyDescent="0.3">
      <c r="A59" s="210" t="s">
        <v>1161</v>
      </c>
      <c r="B59" s="228">
        <v>40000</v>
      </c>
      <c r="C59" s="209" t="s">
        <v>730</v>
      </c>
    </row>
    <row r="60" spans="1:3" ht="15" customHeight="1" x14ac:dyDescent="0.3">
      <c r="A60" s="210" t="s">
        <v>685</v>
      </c>
      <c r="B60" s="228">
        <v>40000</v>
      </c>
      <c r="C60" s="209" t="s">
        <v>730</v>
      </c>
    </row>
    <row r="61" spans="1:3" ht="15" customHeight="1" x14ac:dyDescent="0.3">
      <c r="A61" s="210" t="s">
        <v>1142</v>
      </c>
      <c r="B61" s="229">
        <v>40000</v>
      </c>
      <c r="C61" s="209" t="s">
        <v>730</v>
      </c>
    </row>
    <row r="62" spans="1:3" ht="15" customHeight="1" x14ac:dyDescent="0.3">
      <c r="A62" s="207" t="s">
        <v>765</v>
      </c>
      <c r="B62" s="214" t="s">
        <v>1296</v>
      </c>
      <c r="C62" s="209" t="s">
        <v>1295</v>
      </c>
    </row>
    <row r="63" spans="1:3" ht="15" customHeight="1" x14ac:dyDescent="0.3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3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3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3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3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3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3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3">
      <c r="A70" s="207" t="s">
        <v>1309</v>
      </c>
      <c r="B70" s="213">
        <v>500000</v>
      </c>
      <c r="C70" s="209" t="s">
        <v>2076</v>
      </c>
    </row>
    <row r="71" spans="1:3" ht="15" customHeight="1" x14ac:dyDescent="0.3">
      <c r="A71" s="207" t="s">
        <v>804</v>
      </c>
      <c r="B71" s="208">
        <v>500000</v>
      </c>
      <c r="C71" s="209" t="s">
        <v>2076</v>
      </c>
    </row>
    <row r="72" spans="1:3" ht="15" customHeight="1" x14ac:dyDescent="0.3">
      <c r="A72" s="207" t="s">
        <v>188</v>
      </c>
      <c r="B72" s="208">
        <v>500000</v>
      </c>
      <c r="C72" s="209" t="s">
        <v>2076</v>
      </c>
    </row>
    <row r="73" spans="1:3" ht="15" customHeight="1" x14ac:dyDescent="0.3">
      <c r="A73" s="207" t="s">
        <v>1003</v>
      </c>
      <c r="B73" s="208">
        <v>500000</v>
      </c>
      <c r="C73" s="209" t="s">
        <v>2076</v>
      </c>
    </row>
    <row r="74" spans="1:3" ht="15" customHeight="1" x14ac:dyDescent="0.3">
      <c r="A74" s="207" t="s">
        <v>972</v>
      </c>
      <c r="B74" s="208">
        <v>500000</v>
      </c>
      <c r="C74" s="209" t="s">
        <v>2076</v>
      </c>
    </row>
    <row r="75" spans="1:3" ht="15" customHeight="1" x14ac:dyDescent="0.3">
      <c r="A75" s="207" t="s">
        <v>1402</v>
      </c>
      <c r="B75" s="208">
        <v>500000</v>
      </c>
      <c r="C75" s="209" t="s">
        <v>2076</v>
      </c>
    </row>
    <row r="76" spans="1:3" ht="15" customHeight="1" x14ac:dyDescent="0.3">
      <c r="A76" s="210" t="s">
        <v>347</v>
      </c>
      <c r="B76" s="208">
        <v>1E-3</v>
      </c>
      <c r="C76" s="209" t="s">
        <v>2115</v>
      </c>
    </row>
    <row r="77" spans="1:3" ht="15" customHeight="1" x14ac:dyDescent="0.3">
      <c r="A77" s="210" t="s">
        <v>297</v>
      </c>
      <c r="B77" s="208">
        <v>1E-3</v>
      </c>
      <c r="C77" s="209" t="s">
        <v>2115</v>
      </c>
    </row>
    <row r="78" spans="1:3" ht="15" customHeight="1" x14ac:dyDescent="0.3">
      <c r="A78" s="210" t="s">
        <v>556</v>
      </c>
      <c r="B78" s="208">
        <v>1E-3</v>
      </c>
      <c r="C78" s="209" t="s">
        <v>2115</v>
      </c>
    </row>
    <row r="79" spans="1:3" ht="15" customHeight="1" x14ac:dyDescent="0.3">
      <c r="A79" s="210" t="s">
        <v>552</v>
      </c>
      <c r="B79" s="208">
        <v>1E-3</v>
      </c>
      <c r="C79" s="209" t="s">
        <v>2115</v>
      </c>
    </row>
    <row r="80" spans="1:3" ht="15" customHeight="1" x14ac:dyDescent="0.3">
      <c r="A80" s="210" t="s">
        <v>1155</v>
      </c>
      <c r="B80" s="208">
        <v>1E-3</v>
      </c>
      <c r="C80" s="209" t="s">
        <v>2115</v>
      </c>
    </row>
    <row r="81" spans="1:3" ht="15" customHeight="1" x14ac:dyDescent="0.3">
      <c r="A81" s="210" t="s">
        <v>558</v>
      </c>
      <c r="B81" s="208">
        <v>1E-3</v>
      </c>
      <c r="C81" s="209" t="s">
        <v>2115</v>
      </c>
    </row>
    <row r="82" spans="1:3" ht="15" customHeight="1" x14ac:dyDescent="0.3">
      <c r="A82" s="210" t="s">
        <v>142</v>
      </c>
      <c r="B82" s="208">
        <v>1E-3</v>
      </c>
      <c r="C82" s="209" t="s">
        <v>2115</v>
      </c>
    </row>
    <row r="83" spans="1:3" ht="15" customHeight="1" x14ac:dyDescent="0.3">
      <c r="A83" s="210" t="s">
        <v>554</v>
      </c>
      <c r="B83" s="208">
        <v>1E-3</v>
      </c>
      <c r="C83" s="209" t="s">
        <v>2115</v>
      </c>
    </row>
    <row r="84" spans="1:3" ht="15" customHeight="1" x14ac:dyDescent="0.3">
      <c r="A84" s="210" t="s">
        <v>1144</v>
      </c>
      <c r="B84" s="208">
        <v>1E-3</v>
      </c>
      <c r="C84" s="209" t="s">
        <v>2115</v>
      </c>
    </row>
    <row r="85" spans="1:3" ht="15" customHeight="1" x14ac:dyDescent="0.3">
      <c r="A85" s="210" t="s">
        <v>1156</v>
      </c>
      <c r="B85" s="208">
        <v>1E-3</v>
      </c>
      <c r="C85" s="209" t="s">
        <v>2115</v>
      </c>
    </row>
    <row r="86" spans="1:3" ht="15" customHeight="1" x14ac:dyDescent="0.3">
      <c r="A86" s="210" t="s">
        <v>143</v>
      </c>
      <c r="B86" s="208">
        <v>1E-3</v>
      </c>
      <c r="C86" s="209" t="s">
        <v>2115</v>
      </c>
    </row>
    <row r="87" spans="1:3" ht="15" customHeight="1" x14ac:dyDescent="0.3">
      <c r="A87" s="210" t="s">
        <v>1131</v>
      </c>
      <c r="B87" s="208">
        <v>1E-3</v>
      </c>
      <c r="C87" s="209" t="s">
        <v>2115</v>
      </c>
    </row>
    <row r="88" spans="1:3" ht="15" customHeight="1" x14ac:dyDescent="0.3">
      <c r="A88" s="210" t="s">
        <v>496</v>
      </c>
      <c r="B88" s="208">
        <v>200000</v>
      </c>
      <c r="C88" s="209" t="s">
        <v>36</v>
      </c>
    </row>
    <row r="89" spans="1:3" ht="15" customHeight="1" x14ac:dyDescent="0.3">
      <c r="A89" s="210" t="s">
        <v>1064</v>
      </c>
      <c r="B89" s="208">
        <v>200000</v>
      </c>
      <c r="C89" s="209" t="s">
        <v>36</v>
      </c>
    </row>
    <row r="90" spans="1:3" ht="15" customHeight="1" x14ac:dyDescent="0.3">
      <c r="A90" s="210" t="s">
        <v>962</v>
      </c>
      <c r="B90" s="208">
        <v>200000</v>
      </c>
      <c r="C90" s="209" t="s">
        <v>36</v>
      </c>
    </row>
    <row r="91" spans="1:3" ht="15" customHeight="1" x14ac:dyDescent="0.3">
      <c r="A91" s="210" t="s">
        <v>123</v>
      </c>
      <c r="B91" s="208">
        <v>200000</v>
      </c>
      <c r="C91" s="209" t="s">
        <v>36</v>
      </c>
    </row>
    <row r="92" spans="1:3" ht="15" customHeight="1" x14ac:dyDescent="0.3">
      <c r="A92" s="210" t="s">
        <v>956</v>
      </c>
      <c r="B92" s="213">
        <v>200000</v>
      </c>
      <c r="C92" s="209" t="s">
        <v>36</v>
      </c>
    </row>
    <row r="93" spans="1:3" ht="15" customHeight="1" x14ac:dyDescent="0.3">
      <c r="A93" s="210" t="s">
        <v>983</v>
      </c>
      <c r="B93" s="213">
        <v>0.02</v>
      </c>
      <c r="C93" s="209" t="s">
        <v>36</v>
      </c>
    </row>
    <row r="94" spans="1:3" ht="15" customHeight="1" x14ac:dyDescent="0.3">
      <c r="A94" s="210" t="s">
        <v>480</v>
      </c>
      <c r="B94" s="208">
        <v>0.02</v>
      </c>
      <c r="C94" s="209" t="s">
        <v>36</v>
      </c>
    </row>
    <row r="95" spans="1:3" ht="15" customHeight="1" x14ac:dyDescent="0.3">
      <c r="A95" s="210" t="s">
        <v>1070</v>
      </c>
      <c r="B95" s="208">
        <v>0.02</v>
      </c>
      <c r="C95" s="209" t="s">
        <v>36</v>
      </c>
    </row>
    <row r="96" spans="1:3" ht="15" customHeight="1" x14ac:dyDescent="0.3">
      <c r="A96" s="210" t="s">
        <v>482</v>
      </c>
      <c r="B96" s="208">
        <v>0.02</v>
      </c>
      <c r="C96" s="209" t="s">
        <v>36</v>
      </c>
    </row>
    <row r="97" spans="1:3" ht="15" customHeight="1" x14ac:dyDescent="0.3">
      <c r="A97" s="210" t="s">
        <v>1072</v>
      </c>
      <c r="B97" s="208">
        <v>0.02</v>
      </c>
      <c r="C97" s="209" t="s">
        <v>36</v>
      </c>
    </row>
    <row r="98" spans="1:3" ht="15" customHeight="1" x14ac:dyDescent="0.3">
      <c r="A98" s="210" t="s">
        <v>484</v>
      </c>
      <c r="B98" s="208">
        <v>0.02</v>
      </c>
      <c r="C98" s="209" t="s">
        <v>36</v>
      </c>
    </row>
    <row r="99" spans="1:3" ht="15" customHeight="1" x14ac:dyDescent="0.3">
      <c r="A99" s="210" t="s">
        <v>1074</v>
      </c>
      <c r="B99" s="208">
        <v>0.02</v>
      </c>
      <c r="C99" s="209" t="s">
        <v>36</v>
      </c>
    </row>
    <row r="100" spans="1:3" ht="15" customHeight="1" x14ac:dyDescent="0.3">
      <c r="A100" s="210" t="s">
        <v>410</v>
      </c>
      <c r="B100" s="208">
        <v>0.02</v>
      </c>
      <c r="C100" s="209" t="s">
        <v>36</v>
      </c>
    </row>
    <row r="101" spans="1:3" ht="15" customHeight="1" x14ac:dyDescent="0.3">
      <c r="A101" s="210" t="s">
        <v>1298</v>
      </c>
      <c r="B101" s="208">
        <v>0.05</v>
      </c>
      <c r="C101" s="209" t="s">
        <v>36</v>
      </c>
    </row>
    <row r="102" spans="1:3" ht="15" customHeight="1" x14ac:dyDescent="0.3">
      <c r="A102" s="210" t="s">
        <v>1066</v>
      </c>
      <c r="B102" s="208">
        <v>0.05</v>
      </c>
      <c r="C102" s="209" t="s">
        <v>36</v>
      </c>
    </row>
    <row r="103" spans="1:3" ht="15" customHeight="1" x14ac:dyDescent="0.3">
      <c r="A103" s="210" t="s">
        <v>1300</v>
      </c>
      <c r="B103" s="208">
        <v>0.05</v>
      </c>
      <c r="C103" s="209" t="s">
        <v>36</v>
      </c>
    </row>
    <row r="104" spans="1:3" ht="15" customHeight="1" x14ac:dyDescent="0.3">
      <c r="A104" s="210" t="s">
        <v>1068</v>
      </c>
      <c r="B104" s="208">
        <v>0.05</v>
      </c>
      <c r="C104" s="209" t="s">
        <v>36</v>
      </c>
    </row>
    <row r="105" spans="1:3" ht="15" customHeight="1" x14ac:dyDescent="0.3">
      <c r="A105" s="210" t="s">
        <v>409</v>
      </c>
      <c r="B105" s="208">
        <v>0.05</v>
      </c>
      <c r="C105" s="209" t="s">
        <v>36</v>
      </c>
    </row>
    <row r="106" spans="1:3" ht="15" customHeight="1" x14ac:dyDescent="0.3">
      <c r="A106" s="210" t="s">
        <v>437</v>
      </c>
      <c r="B106" s="208">
        <v>0.05</v>
      </c>
      <c r="C106" s="209" t="s">
        <v>36</v>
      </c>
    </row>
    <row r="107" spans="1:3" ht="15" customHeight="1" x14ac:dyDescent="0.3">
      <c r="A107" s="210" t="s">
        <v>114</v>
      </c>
      <c r="B107" s="208">
        <v>0.05</v>
      </c>
      <c r="C107" s="209" t="s">
        <v>36</v>
      </c>
    </row>
    <row r="108" spans="1:3" ht="15" customHeight="1" x14ac:dyDescent="0.3">
      <c r="A108" s="210" t="s">
        <v>957</v>
      </c>
      <c r="B108" s="208">
        <v>0.02</v>
      </c>
      <c r="C108" s="209" t="s">
        <v>36</v>
      </c>
    </row>
    <row r="109" spans="1:3" ht="15" customHeight="1" x14ac:dyDescent="0.3">
      <c r="A109" s="210" t="s">
        <v>1044</v>
      </c>
      <c r="B109" s="208">
        <v>0.02</v>
      </c>
      <c r="C109" s="209" t="s">
        <v>36</v>
      </c>
    </row>
    <row r="110" spans="1:3" ht="15" customHeight="1" x14ac:dyDescent="0.3">
      <c r="A110" s="210" t="s">
        <v>344</v>
      </c>
      <c r="B110" s="208">
        <v>0.1</v>
      </c>
      <c r="C110" s="209" t="s">
        <v>36</v>
      </c>
    </row>
    <row r="111" spans="1:3" ht="15" customHeight="1" x14ac:dyDescent="0.3">
      <c r="A111" s="210" t="s">
        <v>294</v>
      </c>
      <c r="B111" s="208">
        <v>0.1</v>
      </c>
      <c r="C111" s="209" t="s">
        <v>36</v>
      </c>
    </row>
    <row r="112" spans="1:3" ht="15" customHeight="1" x14ac:dyDescent="0.3">
      <c r="A112" s="210" t="s">
        <v>1454</v>
      </c>
      <c r="B112" s="208">
        <v>0.1</v>
      </c>
      <c r="C112" s="209" t="s">
        <v>36</v>
      </c>
    </row>
    <row r="113" spans="1:3" ht="15" customHeight="1" x14ac:dyDescent="0.3">
      <c r="A113" s="210" t="s">
        <v>1456</v>
      </c>
      <c r="B113" s="208">
        <v>0.1</v>
      </c>
      <c r="C113" s="209" t="s">
        <v>36</v>
      </c>
    </row>
    <row r="114" spans="1:3" ht="15" customHeight="1" x14ac:dyDescent="0.3">
      <c r="A114" s="210" t="s">
        <v>1458</v>
      </c>
      <c r="B114" s="208">
        <v>0.1</v>
      </c>
      <c r="C114" s="209" t="s">
        <v>36</v>
      </c>
    </row>
    <row r="115" spans="1:3" ht="15" customHeight="1" x14ac:dyDescent="0.3">
      <c r="A115" s="210" t="s">
        <v>1455</v>
      </c>
      <c r="B115" s="208">
        <v>0.1</v>
      </c>
      <c r="C115" s="209" t="s">
        <v>36</v>
      </c>
    </row>
    <row r="116" spans="1:3" ht="15" customHeight="1" x14ac:dyDescent="0.3">
      <c r="A116" s="210" t="s">
        <v>1452</v>
      </c>
      <c r="B116" s="208">
        <v>0.1</v>
      </c>
      <c r="C116" s="209" t="s">
        <v>36</v>
      </c>
    </row>
    <row r="117" spans="1:3" ht="15" customHeight="1" x14ac:dyDescent="0.3">
      <c r="A117" s="210" t="s">
        <v>1457</v>
      </c>
      <c r="B117" s="208">
        <v>0.1</v>
      </c>
      <c r="C117" s="209" t="s">
        <v>36</v>
      </c>
    </row>
    <row r="118" spans="1:3" ht="15" customHeight="1" x14ac:dyDescent="0.3">
      <c r="A118" s="210" t="s">
        <v>1460</v>
      </c>
      <c r="B118" s="215">
        <v>0.1</v>
      </c>
      <c r="C118" s="209" t="s">
        <v>36</v>
      </c>
    </row>
    <row r="119" spans="1:3" ht="15" customHeight="1" x14ac:dyDescent="0.3">
      <c r="A119" s="210" t="s">
        <v>1459</v>
      </c>
      <c r="B119" s="208">
        <v>0.1</v>
      </c>
      <c r="C119" s="209" t="s">
        <v>36</v>
      </c>
    </row>
    <row r="120" spans="1:3" ht="15" customHeight="1" x14ac:dyDescent="0.3">
      <c r="A120" s="210" t="s">
        <v>1453</v>
      </c>
      <c r="B120" s="208">
        <v>0.1</v>
      </c>
      <c r="C120" s="209" t="s">
        <v>36</v>
      </c>
    </row>
    <row r="121" spans="1:3" ht="15" customHeight="1" x14ac:dyDescent="0.3">
      <c r="A121" s="210" t="s">
        <v>1461</v>
      </c>
      <c r="B121" s="215">
        <v>0.1</v>
      </c>
      <c r="C121" s="209" t="s">
        <v>36</v>
      </c>
    </row>
    <row r="122" spans="1:3" ht="15" customHeight="1" x14ac:dyDescent="0.3">
      <c r="A122" s="206" t="s">
        <v>1546</v>
      </c>
      <c r="B122" s="208">
        <v>0.1</v>
      </c>
      <c r="C122" s="206" t="s">
        <v>36</v>
      </c>
    </row>
    <row r="123" spans="1:3" ht="15" customHeight="1" x14ac:dyDescent="0.3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3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3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3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3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3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3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3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3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3">
      <c r="A132" s="207" t="s">
        <v>908</v>
      </c>
      <c r="B132" s="216" t="s">
        <v>2096</v>
      </c>
      <c r="C132" s="206" t="s">
        <v>36</v>
      </c>
    </row>
    <row r="133" spans="1:3" ht="15" customHeight="1" x14ac:dyDescent="0.3">
      <c r="A133" s="207" t="s">
        <v>1467</v>
      </c>
      <c r="B133" s="216" t="s">
        <v>2097</v>
      </c>
      <c r="C133" s="206" t="s">
        <v>36</v>
      </c>
    </row>
    <row r="134" spans="1:3" ht="15" customHeight="1" x14ac:dyDescent="0.3">
      <c r="A134" s="207" t="s">
        <v>909</v>
      </c>
      <c r="B134" s="216" t="s">
        <v>2098</v>
      </c>
      <c r="C134" s="206" t="s">
        <v>36</v>
      </c>
    </row>
    <row r="135" spans="1:3" ht="15" customHeight="1" x14ac:dyDescent="0.3">
      <c r="A135" s="207" t="s">
        <v>1468</v>
      </c>
      <c r="B135" s="216" t="s">
        <v>2099</v>
      </c>
      <c r="C135" s="206" t="s">
        <v>36</v>
      </c>
    </row>
    <row r="136" spans="1:3" ht="15" customHeight="1" x14ac:dyDescent="0.3">
      <c r="A136" s="207" t="s">
        <v>910</v>
      </c>
      <c r="B136" s="216" t="s">
        <v>2100</v>
      </c>
      <c r="C136" s="206" t="s">
        <v>36</v>
      </c>
    </row>
    <row r="137" spans="1:3" ht="15" customHeight="1" x14ac:dyDescent="0.3">
      <c r="A137" s="207" t="s">
        <v>1469</v>
      </c>
      <c r="B137" s="216" t="s">
        <v>2101</v>
      </c>
      <c r="C137" s="206" t="s">
        <v>36</v>
      </c>
    </row>
    <row r="138" spans="1:3" ht="15" customHeight="1" x14ac:dyDescent="0.3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3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3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3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3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3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3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3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3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3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3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3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3">
      <c r="A150" s="207" t="s">
        <v>607</v>
      </c>
      <c r="B150" s="216" t="s">
        <v>2095</v>
      </c>
      <c r="C150" s="209" t="s">
        <v>36</v>
      </c>
    </row>
    <row r="151" spans="1:3" ht="15" customHeight="1" x14ac:dyDescent="0.3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3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3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3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3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3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3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3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3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3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3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3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3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3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3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3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3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3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3">
      <c r="A169" s="210" t="s">
        <v>1355</v>
      </c>
      <c r="B169" s="208">
        <v>0.05</v>
      </c>
      <c r="C169" s="206" t="s">
        <v>719</v>
      </c>
    </row>
    <row r="170" spans="1:3" ht="15" customHeight="1" x14ac:dyDescent="0.3">
      <c r="A170" s="210" t="s">
        <v>1200</v>
      </c>
      <c r="B170" s="213">
        <v>0.05</v>
      </c>
      <c r="C170" s="209" t="s">
        <v>719</v>
      </c>
    </row>
    <row r="171" spans="1:3" ht="15" customHeight="1" x14ac:dyDescent="0.3">
      <c r="A171" s="210" t="s">
        <v>472</v>
      </c>
      <c r="B171" s="208">
        <v>0.2</v>
      </c>
      <c r="C171" s="206" t="s">
        <v>719</v>
      </c>
    </row>
    <row r="172" spans="1:3" ht="15" customHeight="1" x14ac:dyDescent="0.3">
      <c r="A172" s="210" t="s">
        <v>57</v>
      </c>
      <c r="B172" s="213">
        <v>0.2</v>
      </c>
      <c r="C172" s="209" t="s">
        <v>719</v>
      </c>
    </row>
    <row r="173" spans="1:3" ht="15" customHeight="1" x14ac:dyDescent="0.3">
      <c r="A173" s="210" t="s">
        <v>775</v>
      </c>
      <c r="B173" s="208">
        <v>0.05</v>
      </c>
      <c r="C173" s="206" t="s">
        <v>719</v>
      </c>
    </row>
    <row r="174" spans="1:3" ht="15" customHeight="1" x14ac:dyDescent="0.3">
      <c r="A174" s="210" t="s">
        <v>58</v>
      </c>
      <c r="B174" s="213">
        <v>0.05</v>
      </c>
      <c r="C174" s="209" t="s">
        <v>719</v>
      </c>
    </row>
    <row r="175" spans="1:3" ht="15" customHeight="1" x14ac:dyDescent="0.3">
      <c r="A175" s="210" t="s">
        <v>22</v>
      </c>
      <c r="B175" s="208">
        <v>0.05</v>
      </c>
      <c r="C175" s="209" t="s">
        <v>719</v>
      </c>
    </row>
    <row r="176" spans="1:3" ht="15" customHeight="1" x14ac:dyDescent="0.3">
      <c r="A176" s="210" t="s">
        <v>470</v>
      </c>
      <c r="B176" s="208">
        <v>0.03</v>
      </c>
      <c r="C176" s="209" t="s">
        <v>719</v>
      </c>
    </row>
    <row r="177" spans="1:3" ht="15" customHeight="1" x14ac:dyDescent="0.3">
      <c r="A177" s="210" t="s">
        <v>1198</v>
      </c>
      <c r="B177" s="208">
        <v>0.03</v>
      </c>
      <c r="C177" s="209" t="s">
        <v>719</v>
      </c>
    </row>
    <row r="178" spans="1:3" ht="15" customHeight="1" x14ac:dyDescent="0.3">
      <c r="A178" s="210" t="s">
        <v>471</v>
      </c>
      <c r="B178" s="208">
        <v>0.03</v>
      </c>
      <c r="C178" s="209" t="s">
        <v>719</v>
      </c>
    </row>
    <row r="179" spans="1:3" ht="15" customHeight="1" x14ac:dyDescent="0.3">
      <c r="A179" s="210" t="s">
        <v>1199</v>
      </c>
      <c r="B179" s="208">
        <v>0.03</v>
      </c>
      <c r="C179" s="209" t="s">
        <v>719</v>
      </c>
    </row>
    <row r="180" spans="1:3" ht="15" customHeight="1" x14ac:dyDescent="0.3">
      <c r="A180" s="210" t="s">
        <v>21</v>
      </c>
      <c r="B180" s="208">
        <v>0.03</v>
      </c>
      <c r="C180" s="209" t="s">
        <v>719</v>
      </c>
    </row>
    <row r="181" spans="1:3" ht="15" customHeight="1" x14ac:dyDescent="0.3">
      <c r="A181" s="210" t="s">
        <v>1353</v>
      </c>
      <c r="B181" s="208">
        <v>0.03</v>
      </c>
      <c r="C181" s="209" t="s">
        <v>719</v>
      </c>
    </row>
    <row r="182" spans="1:3" ht="15" customHeight="1" x14ac:dyDescent="0.3">
      <c r="A182" s="210" t="s">
        <v>1413</v>
      </c>
      <c r="B182" s="208">
        <v>0.03</v>
      </c>
      <c r="C182" s="209" t="s">
        <v>719</v>
      </c>
    </row>
    <row r="183" spans="1:3" ht="15" customHeight="1" x14ac:dyDescent="0.3">
      <c r="A183" s="210" t="s">
        <v>1354</v>
      </c>
      <c r="B183" s="208">
        <v>0.05</v>
      </c>
      <c r="C183" s="209" t="s">
        <v>719</v>
      </c>
    </row>
    <row r="184" spans="1:3" ht="15" customHeight="1" x14ac:dyDescent="0.3">
      <c r="A184" s="210" t="s">
        <v>1414</v>
      </c>
      <c r="B184" s="208">
        <v>0.05</v>
      </c>
      <c r="C184" s="209" t="s">
        <v>719</v>
      </c>
    </row>
    <row r="185" spans="1:3" ht="15" customHeight="1" x14ac:dyDescent="0.3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3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3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3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3">
      <c r="A189" s="210" t="s">
        <v>950</v>
      </c>
      <c r="B189" s="208">
        <v>100</v>
      </c>
      <c r="C189" s="209" t="s">
        <v>719</v>
      </c>
    </row>
    <row r="190" spans="1:3" ht="15" customHeight="1" x14ac:dyDescent="0.3">
      <c r="A190" s="210" t="s">
        <v>469</v>
      </c>
      <c r="B190" s="208">
        <v>200</v>
      </c>
      <c r="C190" s="206" t="s">
        <v>719</v>
      </c>
    </row>
    <row r="191" spans="1:3" ht="15" customHeight="1" x14ac:dyDescent="0.3">
      <c r="A191" s="210" t="s">
        <v>941</v>
      </c>
      <c r="B191" s="208">
        <v>100</v>
      </c>
      <c r="C191" s="209" t="s">
        <v>719</v>
      </c>
    </row>
    <row r="192" spans="1:3" ht="15" customHeight="1" x14ac:dyDescent="0.3">
      <c r="A192" s="210" t="s">
        <v>1197</v>
      </c>
      <c r="B192" s="208">
        <v>10</v>
      </c>
      <c r="C192" s="209" t="s">
        <v>719</v>
      </c>
    </row>
    <row r="193" spans="1:3" ht="15" customHeight="1" x14ac:dyDescent="0.3">
      <c r="A193" s="210" t="s">
        <v>947</v>
      </c>
      <c r="B193" s="213">
        <v>100</v>
      </c>
      <c r="C193" s="209" t="s">
        <v>719</v>
      </c>
    </row>
    <row r="194" spans="1:3" ht="15" customHeight="1" x14ac:dyDescent="0.3">
      <c r="A194" s="210" t="s">
        <v>951</v>
      </c>
      <c r="B194" s="208">
        <v>3000</v>
      </c>
      <c r="C194" s="209" t="s">
        <v>719</v>
      </c>
    </row>
    <row r="195" spans="1:3" ht="15" customHeight="1" x14ac:dyDescent="0.3">
      <c r="A195" s="210" t="s">
        <v>940</v>
      </c>
      <c r="B195" s="208">
        <v>3000</v>
      </c>
      <c r="C195" s="209" t="s">
        <v>719</v>
      </c>
    </row>
    <row r="196" spans="1:3" ht="15" customHeight="1" x14ac:dyDescent="0.3">
      <c r="A196" s="210" t="s">
        <v>948</v>
      </c>
      <c r="B196" s="208">
        <v>3000</v>
      </c>
      <c r="C196" s="209" t="s">
        <v>719</v>
      </c>
    </row>
    <row r="197" spans="1:3" ht="15" customHeight="1" x14ac:dyDescent="0.3">
      <c r="A197" s="206" t="s">
        <v>1342</v>
      </c>
      <c r="B197" s="213">
        <v>3</v>
      </c>
      <c r="C197" s="206" t="s">
        <v>720</v>
      </c>
    </row>
    <row r="198" spans="1:3" ht="15" customHeight="1" x14ac:dyDescent="0.3">
      <c r="A198" s="206" t="s">
        <v>1418</v>
      </c>
      <c r="B198" s="213">
        <v>3</v>
      </c>
      <c r="C198" s="206" t="s">
        <v>720</v>
      </c>
    </row>
    <row r="199" spans="1:3" ht="15" customHeight="1" x14ac:dyDescent="0.3">
      <c r="A199" s="206" t="s">
        <v>313</v>
      </c>
      <c r="B199" s="213">
        <v>100</v>
      </c>
      <c r="C199" s="206" t="s">
        <v>720</v>
      </c>
    </row>
    <row r="200" spans="1:3" ht="15" customHeight="1" x14ac:dyDescent="0.3">
      <c r="A200" s="206" t="s">
        <v>312</v>
      </c>
      <c r="B200" s="213">
        <v>100</v>
      </c>
      <c r="C200" s="206" t="s">
        <v>720</v>
      </c>
    </row>
    <row r="201" spans="1:3" ht="15" customHeight="1" x14ac:dyDescent="0.3">
      <c r="A201" s="207" t="s">
        <v>662</v>
      </c>
      <c r="B201" s="208">
        <f>((kwsd.water.wC*kwsd.sed.sdC)/(kwsd.water.wC+kwsd.sed.sdC))/Ksdw1.C*(SYSTEMAREA.C*AREAFRAC.w1C)</f>
        <v>2.107963749141144</v>
      </c>
      <c r="C201" s="209" t="s">
        <v>2072</v>
      </c>
    </row>
    <row r="202" spans="1:3" ht="15" customHeight="1" x14ac:dyDescent="0.3">
      <c r="A202" s="207" t="s">
        <v>1086</v>
      </c>
      <c r="B202" s="208">
        <f>((kwsd.water.wR*kwsd.sed.sdR)/(kwsd.water.wR+kwsd.sed.sdR))/Ksdw1.R*(SYSTEMAREA.R*AREAFRAC.w1R)</f>
        <v>0.13822128214180554</v>
      </c>
      <c r="C202" s="209" t="s">
        <v>2072</v>
      </c>
    </row>
    <row r="203" spans="1:3" ht="15" customHeight="1" x14ac:dyDescent="0.3">
      <c r="A203" s="207" t="s">
        <v>664</v>
      </c>
      <c r="B203" s="208">
        <f>((kwsd.water.wC*kwsd.sed.sdC)/(kwsd.water.wC+kwsd.sed.sdC))/Ksdw2.C*(SYSTEMAREA.C*AREAFRAC.w2C)</f>
        <v>81.657465796147918</v>
      </c>
      <c r="C203" s="209" t="s">
        <v>2072</v>
      </c>
    </row>
    <row r="204" spans="1:3" ht="15" customHeight="1" x14ac:dyDescent="0.3">
      <c r="A204" s="207" t="s">
        <v>974</v>
      </c>
      <c r="B204" s="208">
        <f>((kwsd.water.wR*kwsd.sed.sdR)/(kwsd.water.wR+kwsd.sed.sdR))/Ksdw2.R*(SYSTEMAREA.R*AREAFRAC.w2R)</f>
        <v>2.1989886868443831E-2</v>
      </c>
      <c r="C204" s="209" t="s">
        <v>2072</v>
      </c>
    </row>
    <row r="205" spans="1:3" ht="15" customHeight="1" x14ac:dyDescent="0.3">
      <c r="A205" s="207" t="s">
        <v>164</v>
      </c>
      <c r="B205" s="208">
        <f>((kwsd.water.wA*kwsd.sed.sdA)/(kwsd.water.wA+kwsd.sed.sdA))/Ksdw.A*(SYSTEMAREA.A*AREAFRAC.wA)</f>
        <v>560.74211514531703</v>
      </c>
      <c r="C205" s="206" t="s">
        <v>2072</v>
      </c>
    </row>
    <row r="206" spans="1:3" ht="15" customHeight="1" x14ac:dyDescent="0.3">
      <c r="A206" s="207" t="s">
        <v>166</v>
      </c>
      <c r="B206" s="208">
        <f>((kwsd.water.wM*kwsd.sed.sdM)/(kwsd.water.wM+kwsd.sed.sdM))/Ksdw.M*(SYSTEMAREA.M*AREAFRAC.wM)</f>
        <v>852.89073622584533</v>
      </c>
      <c r="C206" s="206" t="s">
        <v>2072</v>
      </c>
    </row>
    <row r="207" spans="1:3" ht="15" customHeight="1" x14ac:dyDescent="0.3">
      <c r="A207" s="207" t="s">
        <v>159</v>
      </c>
      <c r="B207" s="208">
        <f>((kwsd.water.wT*kwsd.sed.sdT)/(kwsd.water.wT+kwsd.sed.sdT))/Ksdw.T*(SYSTEMAREA.T*AREAFRAC.wT)</f>
        <v>1962.5974030086097</v>
      </c>
      <c r="C207" s="206" t="s">
        <v>2072</v>
      </c>
    </row>
    <row r="208" spans="1:3" ht="15" customHeight="1" x14ac:dyDescent="0.3">
      <c r="A208" s="209" t="s">
        <v>1174</v>
      </c>
      <c r="B208" s="213">
        <f>0.0000257*SQRT(18)/SQRT(Molweight*1000)</f>
        <v>9.8813676055283326E-6</v>
      </c>
      <c r="C208" s="212" t="s">
        <v>2077</v>
      </c>
    </row>
    <row r="209" spans="1:3" ht="15" customHeight="1" x14ac:dyDescent="0.3">
      <c r="A209" s="209" t="s">
        <v>871</v>
      </c>
      <c r="B209" s="213">
        <f>0.000000002*SQRT(32)/SQRT(Molweight*1000)</f>
        <v>1.0253040317020322E-9</v>
      </c>
      <c r="C209" s="212" t="s">
        <v>2077</v>
      </c>
    </row>
    <row r="210" spans="1:3" ht="15" customHeight="1" x14ac:dyDescent="0.3">
      <c r="A210" s="210" t="s">
        <v>413</v>
      </c>
      <c r="B210" s="208">
        <f>AEROSOLdeprate.A*(FRaerw.aA+FRaers.aA)</f>
        <v>9.9999999997313436E-4</v>
      </c>
      <c r="C210" s="211" t="s">
        <v>2073</v>
      </c>
    </row>
    <row r="211" spans="1:3" ht="15" customHeight="1" x14ac:dyDescent="0.3">
      <c r="A211" s="210" t="s">
        <v>459</v>
      </c>
      <c r="B211" s="208">
        <f>AEROSOLdeprate.C*(FRaerw.aC+FRaers.aC)</f>
        <v>9.9999999989040756E-4</v>
      </c>
      <c r="C211" s="212" t="s">
        <v>2073</v>
      </c>
    </row>
    <row r="212" spans="1:3" ht="15" customHeight="1" x14ac:dyDescent="0.3">
      <c r="A212" s="210" t="s">
        <v>959</v>
      </c>
      <c r="B212" s="208">
        <f>AEROSOLdeprate.M*(FRaerw.aM+FRaers.aM)</f>
        <v>9.9999999989040756E-4</v>
      </c>
      <c r="C212" s="211" t="s">
        <v>2073</v>
      </c>
    </row>
    <row r="213" spans="1:3" ht="15" customHeight="1" x14ac:dyDescent="0.3">
      <c r="A213" s="210" t="s">
        <v>120</v>
      </c>
      <c r="B213" s="208">
        <f>AEROSOLdeprate.R*(FRaerw.aR+FRaers.aR)</f>
        <v>9.9999999989040756E-4</v>
      </c>
      <c r="C213" s="212" t="s">
        <v>2073</v>
      </c>
    </row>
    <row r="214" spans="1:3" ht="15" customHeight="1" x14ac:dyDescent="0.3">
      <c r="A214" s="210" t="s">
        <v>953</v>
      </c>
      <c r="B214" s="208">
        <f>AEROSOLdeprate.T*(FRaerw.aT+FRaers.aT)</f>
        <v>9.99999999830163E-4</v>
      </c>
      <c r="C214" s="211" t="s">
        <v>2073</v>
      </c>
    </row>
    <row r="215" spans="1:3" ht="15" customHeight="1" x14ac:dyDescent="0.3">
      <c r="A215" s="207" t="s">
        <v>969</v>
      </c>
      <c r="B215" s="213">
        <v>6000</v>
      </c>
      <c r="C215" s="209" t="s">
        <v>2116</v>
      </c>
    </row>
    <row r="216" spans="1:3" ht="15" customHeight="1" x14ac:dyDescent="0.3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3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3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3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3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3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3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3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3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3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3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3">
      <c r="A227" s="206" t="s">
        <v>1234</v>
      </c>
      <c r="B227" s="213">
        <v>0</v>
      </c>
      <c r="C227" s="206" t="s">
        <v>486</v>
      </c>
    </row>
    <row r="228" spans="1:3" ht="15" customHeight="1" x14ac:dyDescent="0.3">
      <c r="A228" s="206" t="s">
        <v>5</v>
      </c>
      <c r="B228" s="213">
        <v>0</v>
      </c>
      <c r="C228" s="206" t="s">
        <v>486</v>
      </c>
    </row>
    <row r="229" spans="1:3" ht="15" customHeight="1" x14ac:dyDescent="0.3">
      <c r="A229" s="210" t="s">
        <v>43</v>
      </c>
      <c r="B229" s="208">
        <v>0.2</v>
      </c>
      <c r="C229" s="206" t="s">
        <v>722</v>
      </c>
    </row>
    <row r="230" spans="1:3" ht="15" customHeight="1" x14ac:dyDescent="0.3">
      <c r="A230" s="210" t="s">
        <v>892</v>
      </c>
      <c r="B230" s="208">
        <v>0.2</v>
      </c>
      <c r="C230" s="209" t="s">
        <v>722</v>
      </c>
    </row>
    <row r="231" spans="1:3" ht="15" customHeight="1" x14ac:dyDescent="0.3">
      <c r="A231" s="210" t="s">
        <v>443</v>
      </c>
      <c r="B231" s="208">
        <v>0.2</v>
      </c>
      <c r="C231" s="206" t="s">
        <v>722</v>
      </c>
    </row>
    <row r="232" spans="1:3" ht="15" customHeight="1" x14ac:dyDescent="0.3">
      <c r="A232" s="210" t="s">
        <v>7</v>
      </c>
      <c r="B232" s="208">
        <v>0.2</v>
      </c>
      <c r="C232" s="209" t="s">
        <v>722</v>
      </c>
    </row>
    <row r="233" spans="1:3" ht="15" customHeight="1" x14ac:dyDescent="0.3">
      <c r="A233" s="210" t="s">
        <v>38</v>
      </c>
      <c r="B233" s="208">
        <v>0.2</v>
      </c>
      <c r="C233" s="206" t="s">
        <v>722</v>
      </c>
    </row>
    <row r="234" spans="1:3" ht="15" customHeight="1" x14ac:dyDescent="0.3">
      <c r="A234" s="210" t="s">
        <v>8</v>
      </c>
      <c r="B234" s="208">
        <v>0.2</v>
      </c>
      <c r="C234" s="209" t="s">
        <v>722</v>
      </c>
    </row>
    <row r="235" spans="1:3" ht="15" customHeight="1" x14ac:dyDescent="0.3">
      <c r="A235" s="210" t="s">
        <v>474</v>
      </c>
      <c r="B235" s="208">
        <v>0.2</v>
      </c>
      <c r="C235" s="209" t="s">
        <v>722</v>
      </c>
    </row>
    <row r="236" spans="1:3" ht="15" customHeight="1" x14ac:dyDescent="0.3">
      <c r="A236" s="210" t="s">
        <v>659</v>
      </c>
      <c r="B236" s="208">
        <v>0.2</v>
      </c>
      <c r="C236" s="209" t="s">
        <v>722</v>
      </c>
    </row>
    <row r="237" spans="1:3" ht="15" customHeight="1" x14ac:dyDescent="0.3">
      <c r="A237" s="210" t="s">
        <v>1081</v>
      </c>
      <c r="B237" s="213">
        <v>0.2</v>
      </c>
      <c r="C237" s="209" t="s">
        <v>722</v>
      </c>
    </row>
    <row r="238" spans="1:3" ht="15" customHeight="1" x14ac:dyDescent="0.3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3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3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3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3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3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3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3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3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3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3">
      <c r="A248" s="206" t="s">
        <v>1340</v>
      </c>
      <c r="B248" s="213">
        <v>0.6</v>
      </c>
      <c r="C248" s="206" t="s">
        <v>486</v>
      </c>
    </row>
    <row r="249" spans="1:3" ht="15" customHeight="1" x14ac:dyDescent="0.3">
      <c r="A249" s="206" t="s">
        <v>1416</v>
      </c>
      <c r="B249" s="213">
        <v>0.6</v>
      </c>
      <c r="C249" s="206" t="s">
        <v>486</v>
      </c>
    </row>
    <row r="250" spans="1:3" ht="15" customHeight="1" x14ac:dyDescent="0.3">
      <c r="A250" s="206" t="s">
        <v>1422</v>
      </c>
      <c r="B250" s="213">
        <v>2.75E-2</v>
      </c>
      <c r="C250" s="206" t="s">
        <v>486</v>
      </c>
    </row>
    <row r="251" spans="1:3" ht="15" customHeight="1" x14ac:dyDescent="0.3">
      <c r="A251" s="206" t="s">
        <v>681</v>
      </c>
      <c r="B251" s="213">
        <v>2.75E-2</v>
      </c>
      <c r="C251" s="206" t="s">
        <v>486</v>
      </c>
    </row>
    <row r="252" spans="1:3" ht="15" customHeight="1" x14ac:dyDescent="0.3">
      <c r="A252" s="206" t="s">
        <v>1343</v>
      </c>
      <c r="B252" s="213">
        <v>0.25</v>
      </c>
      <c r="C252" s="206" t="s">
        <v>486</v>
      </c>
    </row>
    <row r="253" spans="1:3" ht="15" customHeight="1" x14ac:dyDescent="0.3">
      <c r="A253" s="206" t="s">
        <v>1419</v>
      </c>
      <c r="B253" s="213">
        <v>0.25</v>
      </c>
      <c r="C253" s="206" t="s">
        <v>486</v>
      </c>
    </row>
    <row r="254" spans="1:3" ht="15" customHeight="1" x14ac:dyDescent="0.3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3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3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3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3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3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3">
      <c r="A260" s="210" t="s">
        <v>877</v>
      </c>
      <c r="B260" s="208">
        <v>0.25</v>
      </c>
      <c r="C260" s="209" t="s">
        <v>36</v>
      </c>
    </row>
    <row r="261" spans="1:3" ht="15" customHeight="1" x14ac:dyDescent="0.3">
      <c r="A261" s="210" t="s">
        <v>272</v>
      </c>
      <c r="B261" s="208">
        <v>0.25</v>
      </c>
      <c r="C261" s="209" t="s">
        <v>36</v>
      </c>
    </row>
    <row r="262" spans="1:3" ht="15" customHeight="1" x14ac:dyDescent="0.3">
      <c r="A262" s="210" t="s">
        <v>1393</v>
      </c>
      <c r="B262" s="213">
        <v>0.25</v>
      </c>
      <c r="C262" s="209" t="s">
        <v>36</v>
      </c>
    </row>
    <row r="263" spans="1:3" ht="15" customHeight="1" x14ac:dyDescent="0.3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3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3">
      <c r="A265" s="206" t="s">
        <v>1423</v>
      </c>
      <c r="B265" s="213">
        <v>0.27</v>
      </c>
      <c r="C265" s="206" t="s">
        <v>486</v>
      </c>
    </row>
    <row r="266" spans="1:3" ht="15" customHeight="1" x14ac:dyDescent="0.3">
      <c r="A266" s="206" t="s">
        <v>682</v>
      </c>
      <c r="B266" s="213">
        <v>0.27</v>
      </c>
      <c r="C266" s="206" t="s">
        <v>486</v>
      </c>
    </row>
    <row r="267" spans="1:3" ht="15" customHeight="1" x14ac:dyDescent="0.3">
      <c r="A267" s="206" t="s">
        <v>1341</v>
      </c>
      <c r="B267" s="213">
        <v>0.1</v>
      </c>
      <c r="C267" s="206" t="s">
        <v>486</v>
      </c>
    </row>
    <row r="268" spans="1:3" ht="15" customHeight="1" x14ac:dyDescent="0.3">
      <c r="A268" s="206" t="s">
        <v>1417</v>
      </c>
      <c r="B268" s="213">
        <v>0.1</v>
      </c>
      <c r="C268" s="206" t="s">
        <v>486</v>
      </c>
    </row>
    <row r="269" spans="1:3" ht="15" customHeight="1" x14ac:dyDescent="0.3">
      <c r="A269" s="206" t="s">
        <v>1344</v>
      </c>
      <c r="B269" s="213">
        <v>0.25</v>
      </c>
      <c r="C269" s="206" t="s">
        <v>486</v>
      </c>
    </row>
    <row r="270" spans="1:3" ht="15" customHeight="1" x14ac:dyDescent="0.3">
      <c r="A270" s="206" t="s">
        <v>1420</v>
      </c>
      <c r="B270" s="213">
        <v>0.25</v>
      </c>
      <c r="C270" s="206" t="s">
        <v>486</v>
      </c>
    </row>
    <row r="271" spans="1:3" ht="15" customHeight="1" x14ac:dyDescent="0.3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3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3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3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3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3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3">
      <c r="A277" s="210" t="s">
        <v>670</v>
      </c>
      <c r="B277" s="208">
        <v>0.25</v>
      </c>
      <c r="C277" s="209" t="s">
        <v>36</v>
      </c>
    </row>
    <row r="278" spans="1:3" ht="15" customHeight="1" x14ac:dyDescent="0.3">
      <c r="A278" s="210" t="s">
        <v>191</v>
      </c>
      <c r="B278" s="208">
        <v>0.25</v>
      </c>
      <c r="C278" s="209" t="s">
        <v>36</v>
      </c>
    </row>
    <row r="279" spans="1:3" ht="15" customHeight="1" x14ac:dyDescent="0.3">
      <c r="A279" s="210" t="s">
        <v>51</v>
      </c>
      <c r="B279" s="213">
        <v>0.25</v>
      </c>
      <c r="C279" s="209" t="s">
        <v>36</v>
      </c>
    </row>
    <row r="280" spans="1:3" ht="15" customHeight="1" x14ac:dyDescent="0.3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3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3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3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3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3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3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3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3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3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3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3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3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3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3">
      <c r="A294" s="210" t="s">
        <v>441</v>
      </c>
      <c r="B294" s="208">
        <v>0.2</v>
      </c>
      <c r="C294" s="206" t="s">
        <v>722</v>
      </c>
    </row>
    <row r="295" spans="1:3" ht="15" customHeight="1" x14ac:dyDescent="0.3">
      <c r="A295" s="210" t="s">
        <v>9</v>
      </c>
      <c r="B295" s="208">
        <v>0.2</v>
      </c>
      <c r="C295" s="209" t="s">
        <v>722</v>
      </c>
    </row>
    <row r="296" spans="1:3" ht="15" customHeight="1" x14ac:dyDescent="0.3">
      <c r="A296" s="210" t="s">
        <v>198</v>
      </c>
      <c r="B296" s="208">
        <v>0.2</v>
      </c>
      <c r="C296" s="206" t="s">
        <v>722</v>
      </c>
    </row>
    <row r="297" spans="1:3" ht="15" customHeight="1" x14ac:dyDescent="0.3">
      <c r="A297" s="210" t="s">
        <v>10</v>
      </c>
      <c r="B297" s="208">
        <v>0.2</v>
      </c>
      <c r="C297" s="209" t="s">
        <v>722</v>
      </c>
    </row>
    <row r="298" spans="1:3" ht="15" customHeight="1" x14ac:dyDescent="0.3">
      <c r="A298" s="210" t="s">
        <v>39</v>
      </c>
      <c r="B298" s="208">
        <v>0.2</v>
      </c>
      <c r="C298" s="206" t="s">
        <v>722</v>
      </c>
    </row>
    <row r="299" spans="1:3" ht="15" customHeight="1" x14ac:dyDescent="0.3">
      <c r="A299" s="210" t="s">
        <v>11</v>
      </c>
      <c r="B299" s="208">
        <v>0.2</v>
      </c>
      <c r="C299" s="209" t="s">
        <v>722</v>
      </c>
    </row>
    <row r="300" spans="1:3" ht="15" customHeight="1" x14ac:dyDescent="0.3">
      <c r="A300" s="210" t="s">
        <v>1304</v>
      </c>
      <c r="B300" s="208">
        <v>0.2</v>
      </c>
      <c r="C300" s="209" t="s">
        <v>722</v>
      </c>
    </row>
    <row r="301" spans="1:3" ht="15" customHeight="1" x14ac:dyDescent="0.3">
      <c r="A301" s="210" t="s">
        <v>1306</v>
      </c>
      <c r="B301" s="208">
        <v>0.8</v>
      </c>
      <c r="C301" s="209" t="s">
        <v>722</v>
      </c>
    </row>
    <row r="302" spans="1:3" ht="15" customHeight="1" x14ac:dyDescent="0.3">
      <c r="A302" s="210" t="s">
        <v>41</v>
      </c>
      <c r="B302" s="208">
        <v>0.8</v>
      </c>
      <c r="C302" s="206" t="s">
        <v>722</v>
      </c>
    </row>
    <row r="303" spans="1:3" ht="15" customHeight="1" x14ac:dyDescent="0.3">
      <c r="A303" s="210" t="s">
        <v>592</v>
      </c>
      <c r="B303" s="208">
        <v>0.8</v>
      </c>
      <c r="C303" s="209" t="s">
        <v>722</v>
      </c>
    </row>
    <row r="304" spans="1:3" ht="15" customHeight="1" x14ac:dyDescent="0.3">
      <c r="A304" s="210" t="s">
        <v>893</v>
      </c>
      <c r="B304" s="208">
        <v>0.8</v>
      </c>
      <c r="C304" s="209" t="s">
        <v>722</v>
      </c>
    </row>
    <row r="305" spans="1:3" ht="15" customHeight="1" x14ac:dyDescent="0.3">
      <c r="A305" s="210" t="s">
        <v>1078</v>
      </c>
      <c r="B305" s="213">
        <v>0.8</v>
      </c>
      <c r="C305" s="209" t="s">
        <v>722</v>
      </c>
    </row>
    <row r="306" spans="1:3" ht="15" customHeight="1" x14ac:dyDescent="0.3">
      <c r="A306" s="210" t="s">
        <v>590</v>
      </c>
      <c r="B306" s="208">
        <v>0.2</v>
      </c>
      <c r="C306" s="209" t="s">
        <v>722</v>
      </c>
    </row>
    <row r="307" spans="1:3" ht="15" customHeight="1" x14ac:dyDescent="0.3">
      <c r="A307" s="210" t="s">
        <v>1079</v>
      </c>
      <c r="B307" s="213">
        <v>0.2</v>
      </c>
      <c r="C307" s="209" t="s">
        <v>722</v>
      </c>
    </row>
    <row r="308" spans="1:3" ht="15" customHeight="1" x14ac:dyDescent="0.3">
      <c r="A308" s="206" t="s">
        <v>640</v>
      </c>
      <c r="B308" s="396" t="s">
        <v>2186</v>
      </c>
      <c r="C308" s="206" t="s">
        <v>36</v>
      </c>
    </row>
    <row r="309" spans="1:3" ht="15" customHeight="1" x14ac:dyDescent="0.3">
      <c r="A309" s="206" t="s">
        <v>625</v>
      </c>
      <c r="B309" s="396" t="s">
        <v>2187</v>
      </c>
      <c r="C309" s="206" t="s">
        <v>36</v>
      </c>
    </row>
    <row r="310" spans="1:3" ht="15" customHeight="1" x14ac:dyDescent="0.3">
      <c r="A310" s="206" t="s">
        <v>635</v>
      </c>
      <c r="B310" s="396" t="s">
        <v>2188</v>
      </c>
      <c r="C310" s="206" t="s">
        <v>36</v>
      </c>
    </row>
    <row r="311" spans="1:3" ht="15" customHeight="1" x14ac:dyDescent="0.3">
      <c r="A311" s="206" t="s">
        <v>610</v>
      </c>
      <c r="B311" s="396" t="s">
        <v>2189</v>
      </c>
      <c r="C311" s="206" t="s">
        <v>36</v>
      </c>
    </row>
    <row r="312" spans="1:3" ht="15" customHeight="1" x14ac:dyDescent="0.3">
      <c r="A312" s="206" t="s">
        <v>630</v>
      </c>
      <c r="B312" s="396" t="s">
        <v>2190</v>
      </c>
      <c r="C312" s="206" t="s">
        <v>36</v>
      </c>
    </row>
    <row r="313" spans="1:3" ht="15" customHeight="1" x14ac:dyDescent="0.3">
      <c r="A313" s="206" t="s">
        <v>639</v>
      </c>
      <c r="B313" s="397">
        <f>FRACaerw.aA*Kaerw.aA/(1+FRACaerw.aA*Kaerw.aA+FRACaers.aA*Kaers.aA)</f>
        <v>0.89554653811528195</v>
      </c>
      <c r="C313" s="206" t="s">
        <v>36</v>
      </c>
    </row>
    <row r="314" spans="1:3" ht="15" customHeight="1" x14ac:dyDescent="0.3">
      <c r="A314" s="206" t="s">
        <v>624</v>
      </c>
      <c r="B314" s="397">
        <f>FRACaerw.aC*Kaerw.aC/(1+FRACaerw.aC*Kaerw.aC+FRACaers.aC*Kaers.aC)</f>
        <v>0.57390410415704873</v>
      </c>
      <c r="C314" s="206" t="s">
        <v>36</v>
      </c>
    </row>
    <row r="315" spans="1:3" ht="15" customHeight="1" x14ac:dyDescent="0.3">
      <c r="A315" s="206" t="s">
        <v>634</v>
      </c>
      <c r="B315" s="397">
        <f>FRACaerw.aM*Kaerw.aM/(1+FRACaerw.aM*Kaerw.aM+FRACaers.aM*Kaers.aM)</f>
        <v>0.57390410415704873</v>
      </c>
      <c r="C315" s="206" t="s">
        <v>36</v>
      </c>
    </row>
    <row r="316" spans="1:3" ht="15" customHeight="1" x14ac:dyDescent="0.3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3">
      <c r="A317" s="206" t="s">
        <v>629</v>
      </c>
      <c r="B317" s="397">
        <f>FRACaerw.aT*Kaerw.aT/(1+FRACaerw.aT*Kaerw.aT+FRACaers.aT*Kaers.aT)</f>
        <v>0.33967391298578903</v>
      </c>
      <c r="C317" s="206" t="s">
        <v>36</v>
      </c>
    </row>
    <row r="318" spans="1:3" ht="15" customHeight="1" x14ac:dyDescent="0.3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3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3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3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3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3">
      <c r="A323" s="209" t="s">
        <v>2044</v>
      </c>
      <c r="B323" s="397">
        <f>1-FRaerw.aA-FRaers.aA</f>
        <v>2.6865745739179658E-11</v>
      </c>
      <c r="C323" s="209" t="s">
        <v>36</v>
      </c>
    </row>
    <row r="324" spans="1:3" ht="15" customHeight="1" x14ac:dyDescent="0.3">
      <c r="A324" s="209" t="s">
        <v>2021</v>
      </c>
      <c r="B324" s="397">
        <f>1-FRaerw.aC-FRaers.aC</f>
        <v>1.0959261276255461E-10</v>
      </c>
      <c r="C324" s="209" t="s">
        <v>36</v>
      </c>
    </row>
    <row r="325" spans="1:3" ht="15" customHeight="1" x14ac:dyDescent="0.3">
      <c r="A325" s="209" t="s">
        <v>2036</v>
      </c>
      <c r="B325" s="397">
        <f>1-FRaerw.aM-FRaers.aM</f>
        <v>1.0959261276255461E-10</v>
      </c>
      <c r="C325" s="209" t="s">
        <v>36</v>
      </c>
    </row>
    <row r="326" spans="1:3" ht="15" customHeight="1" x14ac:dyDescent="0.3">
      <c r="A326" s="206" t="s">
        <v>2018</v>
      </c>
      <c r="B326" s="397">
        <f>1-FRaerw.aR-FRaers.aR</f>
        <v>1.0959261276255461E-10</v>
      </c>
      <c r="C326" s="206" t="s">
        <v>36</v>
      </c>
    </row>
    <row r="327" spans="1:3" ht="15" customHeight="1" x14ac:dyDescent="0.3">
      <c r="A327" s="209" t="s">
        <v>2048</v>
      </c>
      <c r="B327" s="397">
        <f>1-FRaerw.aT-FRaers.aT</f>
        <v>1.6983692230354563E-10</v>
      </c>
      <c r="C327" s="209" t="s">
        <v>36</v>
      </c>
    </row>
    <row r="328" spans="1:3" ht="15" customHeight="1" x14ac:dyDescent="0.3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3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3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3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3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3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3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3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3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3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3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3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3">
      <c r="A340" s="210" t="s">
        <v>1031</v>
      </c>
      <c r="B340" s="208">
        <f>FRACs.s1C / (FRACa.s1C*Kaw.C*FRorig.s1w/(Kp.s1C*RHOsolid/1000)+FRACw.s1C /(Kp.s1C*RHOsolid/1000)+FRACs.s1C )</f>
        <v>0.99986668444207449</v>
      </c>
      <c r="C340" s="209" t="s">
        <v>36</v>
      </c>
    </row>
    <row r="341" spans="1:3" ht="15" customHeight="1" x14ac:dyDescent="0.3">
      <c r="A341" s="210" t="s">
        <v>1029</v>
      </c>
      <c r="B341" s="215">
        <f>FRACs.s1R / (FRACa.s1R*Kaw.R*FRorig.s1w/(Kp.s1R*RHOsolid/1000)+FRACw.s1R /(Kp.s1R*RHOsolid/1000)+FRACs.s1R )</f>
        <v>0.99986668444207449</v>
      </c>
      <c r="C341" s="209" t="s">
        <v>36</v>
      </c>
    </row>
    <row r="342" spans="1:3" ht="15" customHeight="1" x14ac:dyDescent="0.3">
      <c r="A342" s="210" t="s">
        <v>1032</v>
      </c>
      <c r="B342" s="208">
        <f>FRACs.s2C / (FRACa.s2C*Kaw.C*FRorig.s2w/(Kp.s2C*RHOsolid/1000)+FRACw.s2C /(Kp.s2C*RHOsolid/1000)+FRACs.s2C )</f>
        <v>0.99986668444207449</v>
      </c>
      <c r="C342" s="209" t="s">
        <v>36</v>
      </c>
    </row>
    <row r="343" spans="1:3" ht="15" customHeight="1" x14ac:dyDescent="0.3">
      <c r="A343" s="210" t="s">
        <v>1030</v>
      </c>
      <c r="B343" s="215">
        <f>FRACs.s2R / (FRACa.s2R*Kaw.R*FRorig.s2w/(Kp.s2R*RHOsolid/1000)+FRACw.s2R /(Kp.s2R*RHOsolid/1000)+FRACs.s2R )</f>
        <v>0.99986668444207449</v>
      </c>
      <c r="C343" s="209" t="s">
        <v>36</v>
      </c>
    </row>
    <row r="344" spans="1:3" ht="15" customHeight="1" x14ac:dyDescent="0.3">
      <c r="A344" s="210" t="s">
        <v>1033</v>
      </c>
      <c r="B344" s="208">
        <f>FRACs.s3C / (FRACa.s3C*Kaw.C*FRorig.s3w/(Kp.s3C*RHOsolid/1000)+FRACw.s3C /(Kp.s3C*RHOsolid/1000)+FRACs.s3C )</f>
        <v>0.99986668444207449</v>
      </c>
      <c r="C344" s="209" t="s">
        <v>36</v>
      </c>
    </row>
    <row r="345" spans="1:3" ht="15" customHeight="1" x14ac:dyDescent="0.3">
      <c r="A345" s="210" t="s">
        <v>1107</v>
      </c>
      <c r="B345" s="215">
        <f>FRACs.s3R / (FRACa.s3R*Kaw.R*FRorig.s3w/(Kp.s3R*RHOsolid/1000)+FRACw.s3R /(Kp.s3R*RHOsolid/1000)+FRACs.s3R )</f>
        <v>0.99986668444207449</v>
      </c>
      <c r="C345" s="209" t="s">
        <v>36</v>
      </c>
    </row>
    <row r="346" spans="1:3" ht="15" customHeight="1" x14ac:dyDescent="0.3">
      <c r="A346" s="210" t="s">
        <v>1303</v>
      </c>
      <c r="B346" s="208">
        <f>FRACs.sA/ (FRACa.sA*Kaw.A*FRorig.s1w/(Kp.sA*RHOsolid/1000)+FRACw.sA/(Kp.sA*RHOsolid/1000)+FRACs.sA )</f>
        <v>0.99986668444207449</v>
      </c>
      <c r="C346" s="209" t="s">
        <v>36</v>
      </c>
    </row>
    <row r="347" spans="1:3" ht="15" customHeight="1" x14ac:dyDescent="0.3">
      <c r="A347" s="210" t="s">
        <v>44</v>
      </c>
      <c r="B347" s="208">
        <f>FRACs.sM / (FRACa.sM*Kaw.M*FRorig.s1w/(Kp.sM*RHOsolid/1000)+FRACw.sM/(Kp.sM*RHOsolid/1000)+FRACs.sM )</f>
        <v>0.99986668444207449</v>
      </c>
      <c r="C347" s="209" t="s">
        <v>36</v>
      </c>
    </row>
    <row r="348" spans="1:3" ht="15" customHeight="1" x14ac:dyDescent="0.3">
      <c r="A348" s="210" t="s">
        <v>477</v>
      </c>
      <c r="B348" s="208">
        <f>FRACs.sT/ (FRACa.sT*Kaw.T*FRorig.s1w/(Kp.sT*RHOsolid/1000)+FRACw.sT/(Kp.sT*RHOsolid/1000)+FRACs.sT )</f>
        <v>0.99986668444207449</v>
      </c>
      <c r="C348" s="209" t="s">
        <v>36</v>
      </c>
    </row>
    <row r="349" spans="1:3" ht="15" customHeight="1" x14ac:dyDescent="0.3">
      <c r="A349" s="210" t="s">
        <v>577</v>
      </c>
      <c r="B349" s="208">
        <f>FRACw.s1C/(FRACa.s1C*(Kaw.C*FRorig.s1w)+FRACw.s1C+FRACs.s1C*Kp.s1C*RHOsolid/1000)</f>
        <v>1.3331555792560991E-4</v>
      </c>
      <c r="C349" s="209" t="s">
        <v>36</v>
      </c>
    </row>
    <row r="350" spans="1:3" ht="15" customHeight="1" x14ac:dyDescent="0.3">
      <c r="A350" s="210" t="s">
        <v>1025</v>
      </c>
      <c r="B350" s="215">
        <f>FRACw.s1R/(FRACa.s1R*(Kaw.R*FRorig.s1w)+FRACw.s1R+FRACs.s1R*Kp.s1R*RHOsolid/1000)</f>
        <v>1.3331555792560991E-4</v>
      </c>
      <c r="C350" s="209" t="s">
        <v>36</v>
      </c>
    </row>
    <row r="351" spans="1:3" ht="15" customHeight="1" x14ac:dyDescent="0.3">
      <c r="A351" s="210" t="s">
        <v>578</v>
      </c>
      <c r="B351" s="208">
        <f>FRACw.s2C/(FRACa.s2C*(Kaw.C*FRorig.s2w)+FRACw.s2C+FRACs.s2C*Kp.s2C*RHOsolid/1000)</f>
        <v>1.3331555792560991E-4</v>
      </c>
      <c r="C351" s="209" t="s">
        <v>36</v>
      </c>
    </row>
    <row r="352" spans="1:3" ht="15" customHeight="1" x14ac:dyDescent="0.3">
      <c r="A352" s="210" t="s">
        <v>1026</v>
      </c>
      <c r="B352" s="215">
        <f>FRACw.s2R/(FRACa.s2R*(Kaw.R*FRorig.s2w)+FRACw.s2R+FRACs.s2R*Kp.s2R*RHOsolid/1000)</f>
        <v>1.3331555792560991E-4</v>
      </c>
      <c r="C352" s="209" t="s">
        <v>36</v>
      </c>
    </row>
    <row r="353" spans="1:3" ht="15" customHeight="1" x14ac:dyDescent="0.3">
      <c r="A353" s="210" t="s">
        <v>579</v>
      </c>
      <c r="B353" s="208">
        <f>FRACw.s3C/(FRACa.s3C*(Kaw.C*FRorig.s3w)+FRACw.s3C+FRACs.s3C*Kp.s3C*RHOsolid/1000)</f>
        <v>1.3331555792560991E-4</v>
      </c>
      <c r="C353" s="209" t="s">
        <v>36</v>
      </c>
    </row>
    <row r="354" spans="1:3" ht="15" customHeight="1" x14ac:dyDescent="0.3">
      <c r="A354" s="210" t="s">
        <v>1027</v>
      </c>
      <c r="B354" s="215">
        <f>FRACw.s3R/(FRACa.s3R*(Kaw.R*FRorig.s3w)+FRACw.s3R+FRACs.s3R*Kp.s3R*RHOsolid/1000)</f>
        <v>1.3331555792560991E-4</v>
      </c>
      <c r="C354" s="209" t="s">
        <v>36</v>
      </c>
    </row>
    <row r="355" spans="1:3" ht="15" customHeight="1" x14ac:dyDescent="0.3">
      <c r="A355" s="210" t="s">
        <v>1302</v>
      </c>
      <c r="B355" s="208">
        <f>FRACw.sA/(FRACa.sA*(Kaw.A*FRorig.s1w)+FRACw.sA+FRACs.sA*Kp.sA*RHOsolid/1000)</f>
        <v>1.3331555792560991E-4</v>
      </c>
      <c r="C355" s="209" t="s">
        <v>36</v>
      </c>
    </row>
    <row r="356" spans="1:3" ht="15" customHeight="1" x14ac:dyDescent="0.3">
      <c r="A356" s="210" t="s">
        <v>589</v>
      </c>
      <c r="B356" s="208">
        <f>FRACw.sM/(FRACa.sM*(Kaw.M*FRorig.s1w)+FRACw.sM+FRACs.sM*Kp.sM*RHOsolid/1000)</f>
        <v>1.3331555792560991E-4</v>
      </c>
      <c r="C356" s="209" t="s">
        <v>36</v>
      </c>
    </row>
    <row r="357" spans="1:3" ht="15" customHeight="1" x14ac:dyDescent="0.3">
      <c r="A357" s="210" t="s">
        <v>478</v>
      </c>
      <c r="B357" s="208">
        <f>FRACw.sT/(FRACa.sT*(Kaw.T*FRorig.s1w)+FRACw.sT+FRACs.sT*Kp.sT*RHOsolid/1000)</f>
        <v>1.3331555792560991E-4</v>
      </c>
      <c r="C357" s="209" t="s">
        <v>36</v>
      </c>
    </row>
    <row r="358" spans="1:3" ht="15" customHeight="1" x14ac:dyDescent="0.3">
      <c r="A358" s="210" t="s">
        <v>342</v>
      </c>
      <c r="B358" s="215">
        <f>1/(1+Kp.susp0C*SUSP.w0C/1000+Kp.col0C*COL.w0C/1000)</f>
        <v>0.99750480158911303</v>
      </c>
      <c r="C358" s="209" t="s">
        <v>36</v>
      </c>
    </row>
    <row r="359" spans="1:3" ht="15" customHeight="1" x14ac:dyDescent="0.3">
      <c r="A359" s="210" t="s">
        <v>292</v>
      </c>
      <c r="B359" s="215">
        <f>1/(1+Kp.susp0R*SUSP.w0R/1000+Kp.col0R*COL.w0R/1000)</f>
        <v>0.99750480158911303</v>
      </c>
      <c r="C359" s="209" t="s">
        <v>36</v>
      </c>
    </row>
    <row r="360" spans="1:3" ht="15" customHeight="1" x14ac:dyDescent="0.3">
      <c r="A360" s="210" t="s">
        <v>572</v>
      </c>
      <c r="B360" s="215">
        <f>1/(1+Kp.susp1C*SUSP.w1C/1000+Kp.col1C*COL.w1C/1000)</f>
        <v>0.93023131206224252</v>
      </c>
      <c r="C360" s="209" t="s">
        <v>36</v>
      </c>
    </row>
    <row r="361" spans="1:3" ht="15" customHeight="1" x14ac:dyDescent="0.3">
      <c r="A361" s="210" t="s">
        <v>538</v>
      </c>
      <c r="B361" s="215">
        <f>1/(1+Kp.susp1R*SUSP.w1R/1000+Kp.col1R*COL.w1R/1000)</f>
        <v>0.93023131206224252</v>
      </c>
      <c r="C361" s="209" t="s">
        <v>36</v>
      </c>
    </row>
    <row r="362" spans="1:3" ht="15" customHeight="1" x14ac:dyDescent="0.3">
      <c r="A362" s="207" t="s">
        <v>1147</v>
      </c>
      <c r="B362" s="208">
        <f>1/(1+Kp.susp2A*SUSP.w2A/1000+Kp.col2A*COL.w2A/1000)</f>
        <v>0.97560838548675621</v>
      </c>
      <c r="C362" s="209" t="s">
        <v>36</v>
      </c>
    </row>
    <row r="363" spans="1:3" ht="15" customHeight="1" x14ac:dyDescent="0.3">
      <c r="A363" s="210" t="s">
        <v>573</v>
      </c>
      <c r="B363" s="215">
        <f>1/(1+Kp.susp2C*SUSP.w2C/1000+Kp.col2C*COL.w2C/1000)</f>
        <v>0.97560838548675621</v>
      </c>
      <c r="C363" s="209" t="s">
        <v>36</v>
      </c>
    </row>
    <row r="364" spans="1:3" ht="15" customHeight="1" x14ac:dyDescent="0.3">
      <c r="A364" s="207" t="s">
        <v>134</v>
      </c>
      <c r="B364" s="208">
        <f>1/(1+Kp.susp2M*SUSP.w2M/1000+Kp.col2M*COL.w2M/1000)</f>
        <v>0.97560838548675621</v>
      </c>
      <c r="C364" s="209" t="s">
        <v>36</v>
      </c>
    </row>
    <row r="365" spans="1:3" ht="15" customHeight="1" x14ac:dyDescent="0.3">
      <c r="A365" s="210" t="s">
        <v>539</v>
      </c>
      <c r="B365" s="208">
        <f>1/(1+Kp.susp2R*SUSP.w2R/1000+Kp.col2R*COL.w2R/1000)</f>
        <v>0.97560838548675621</v>
      </c>
      <c r="C365" s="209" t="s">
        <v>36</v>
      </c>
    </row>
    <row r="366" spans="1:3" ht="15" customHeight="1" x14ac:dyDescent="0.3">
      <c r="A366" s="207" t="s">
        <v>107</v>
      </c>
      <c r="B366" s="215">
        <f>1/(1+Kp.susp2T*SUSP.w2T/1000+Kp.col2T*COL.w2T/1000)</f>
        <v>0.97560838548675621</v>
      </c>
      <c r="C366" s="209" t="s">
        <v>36</v>
      </c>
    </row>
    <row r="367" spans="1:3" ht="15" customHeight="1" x14ac:dyDescent="0.3">
      <c r="A367" s="207" t="s">
        <v>1148</v>
      </c>
      <c r="B367" s="208">
        <f>1/(1+Kp.susp3A*SUSP.w3A/1000+Kp.col3A*COL.w3A/1000)</f>
        <v>0.97560838548675621</v>
      </c>
      <c r="C367" s="209" t="s">
        <v>36</v>
      </c>
    </row>
    <row r="368" spans="1:3" ht="15" customHeight="1" x14ac:dyDescent="0.3">
      <c r="A368" s="207" t="s">
        <v>135</v>
      </c>
      <c r="B368" s="208">
        <f>1/(1+Kp.susp3M*SUSP.w3M/1000+Kp.col3M*COL.w3M/1000)</f>
        <v>0.97560838548675621</v>
      </c>
      <c r="C368" s="209" t="s">
        <v>36</v>
      </c>
    </row>
    <row r="369" spans="1:3" ht="15" customHeight="1" x14ac:dyDescent="0.3">
      <c r="A369" s="207" t="s">
        <v>1120</v>
      </c>
      <c r="B369" s="215">
        <f>1/(1+Kp.susp3T*SUSP.w3T/1000+Kp.col3T*COL.w3T/1000)</f>
        <v>0.97560838548675621</v>
      </c>
      <c r="C369" s="209" t="s">
        <v>36</v>
      </c>
    </row>
    <row r="370" spans="1:3" ht="15" customHeight="1" x14ac:dyDescent="0.3">
      <c r="A370" s="207" t="s">
        <v>1231</v>
      </c>
      <c r="B370" s="208">
        <f>FRgas.aA*(MTCas.air.aA*MTCas.soil.sA)/(MTCas.air.aA*((Kaw.A*FRorig.s1w)/Kslw.A)+MTCas.soil.sA)*SYSTEMAREA.A*AREAFRAC.sA</f>
        <v>0.47852746177090577</v>
      </c>
      <c r="C370" s="206" t="s">
        <v>2072</v>
      </c>
    </row>
    <row r="371" spans="1:3" ht="15" customHeight="1" x14ac:dyDescent="0.3">
      <c r="A371" s="207" t="s">
        <v>1162</v>
      </c>
      <c r="B371" s="208">
        <f>FRgas.aA*(MTCaw.air.aA*MTCaw.water.wA/(FRorig.w1*MTCaw.air.aA*Kaw.A+MTCaw.water.wA))*SYSTEMAREA.A*AREAFRAC.wA</f>
        <v>3.2497789786005535</v>
      </c>
      <c r="C371" s="206" t="s">
        <v>2072</v>
      </c>
    </row>
    <row r="372" spans="1:3" ht="15" customHeight="1" x14ac:dyDescent="0.3">
      <c r="A372" s="207" t="s">
        <v>1384</v>
      </c>
      <c r="B372" s="208">
        <f>FRgas.aC*(MTCas.air.aC*MTCas.soil.sC)/(MTCas.air.aC*((Kaw.C*FRorig.s1w)/Ks1w.C)+MTCas.soil.sC)*(SYSTEMAREA.C*AREAFRAC.s1C)</f>
        <v>0.10807139198513067</v>
      </c>
      <c r="C372" s="209" t="s">
        <v>2072</v>
      </c>
    </row>
    <row r="373" spans="1:3" ht="15" customHeight="1" x14ac:dyDescent="0.3">
      <c r="A373" s="207" t="s">
        <v>1237</v>
      </c>
      <c r="B373" s="208">
        <f>FRgas.aC*(MTCas.air.aC*MTCas.soil.sC)/(MTCas.air.aC*((Kaw.C*FRorig.s2w)/Ks2w.C)+MTCas.soil.sC)*(SYSTEMAREA.C*AREAFRAC.s2C)</f>
        <v>0.2401586488558459</v>
      </c>
      <c r="C373" s="209" t="s">
        <v>2072</v>
      </c>
    </row>
    <row r="374" spans="1:3" ht="15" customHeight="1" x14ac:dyDescent="0.3">
      <c r="A374" s="207" t="s">
        <v>1239</v>
      </c>
      <c r="B374" s="208">
        <f>FRgas.aC*(MTCas.air.aC*MTCas.soil.sC)/(MTCas.air.aC*((Kaw.C*FRorig.s3w)/Ks3w.C)+MTCas.soil.sC)*(SYSTEMAREA.C*AREAFRAC.s3C)</f>
        <v>4.0026441475974311E-2</v>
      </c>
      <c r="C374" s="209" t="s">
        <v>2072</v>
      </c>
    </row>
    <row r="375" spans="1:3" ht="15" customHeight="1" x14ac:dyDescent="0.3">
      <c r="A375" s="207" t="s">
        <v>351</v>
      </c>
      <c r="B375" s="208">
        <f>FRgas.aC*(MTCaw.air.aC*MTCaw.water.wC/(FRorig.w1*MTCaw.air.aC*Kaw.C+MTCaw.water.wC))*SYSTEMAREA.C*AREAFRAC.w0C</f>
        <v>4.5304723392234408E-3</v>
      </c>
      <c r="C375" s="209" t="s">
        <v>2072</v>
      </c>
    </row>
    <row r="376" spans="1:3" ht="15" customHeight="1" x14ac:dyDescent="0.3">
      <c r="A376" s="207" t="s">
        <v>13</v>
      </c>
      <c r="B376" s="208">
        <f>FRgas.aC*(MTCaw.air.aC*MTCaw.water.wC/(FRorig.w1*MTCaw.air.aC*Kaw.C+MTCaw.water.wC))*SYSTEMAREA.C*AREAFRAC.w1C</f>
        <v>4.9835195731457838E-2</v>
      </c>
      <c r="C376" s="209" t="s">
        <v>2072</v>
      </c>
    </row>
    <row r="377" spans="1:3" ht="15" customHeight="1" x14ac:dyDescent="0.3">
      <c r="A377" s="207" t="s">
        <v>1382</v>
      </c>
      <c r="B377" s="208">
        <f>FRgas.aC*(MTCaw.air.aC*MTCaw.water.wC/(FRorig.w2*MTCaw.air.aC*Kaw.C+MTCaw.water.wC))*SYSTEMAREA.C*AREAFRAC.w2C</f>
        <v>1.9304960972615743</v>
      </c>
      <c r="C377" s="209" t="s">
        <v>2072</v>
      </c>
    </row>
    <row r="378" spans="1:3" ht="15" customHeight="1" x14ac:dyDescent="0.3">
      <c r="A378" s="207" t="s">
        <v>1330</v>
      </c>
      <c r="B378" s="208">
        <f>FRgas.aM*(MTCas.air.aM*MTCas.soil.sM)/(MTCas.air.aM*((Kaw.M*FRorig.s1w)/Kslw.M)+MTCas.soil.sM)*SYSTEMAREA.M*AREAFRAC.sM</f>
        <v>4.4535869352756716</v>
      </c>
      <c r="C378" s="206" t="s">
        <v>2072</v>
      </c>
    </row>
    <row r="379" spans="1:3" ht="15" customHeight="1" x14ac:dyDescent="0.3">
      <c r="A379" s="207" t="s">
        <v>145</v>
      </c>
      <c r="B379" s="208">
        <f>FRgas.aM*(MTCaw.air.aM*MTCaw.water.wM/(FRorig.w1*MTCaw.air.aM*Kaw.M+MTCaw.water.wM))*SYSTEMAREA.M*AREAFRAC.wM</f>
        <v>20.163523587480924</v>
      </c>
      <c r="C379" s="206" t="s">
        <v>2072</v>
      </c>
    </row>
    <row r="380" spans="1:3" ht="15" customHeight="1" x14ac:dyDescent="0.3">
      <c r="A380" s="207" t="s">
        <v>738</v>
      </c>
      <c r="B380" s="208">
        <f>FRgas.aR*(MTCas.air.aR*MTCas.soil.sR/(MTCas.air.aR*(Kaw.R*FRorig.s1)/Ks1w.R+MTCas.soil.sR))*(SYSTEMAREA.R*AREAFRAC.s1R)</f>
        <v>7.086348789973526E-3</v>
      </c>
      <c r="C380" s="209" t="s">
        <v>2072</v>
      </c>
    </row>
    <row r="381" spans="1:3" ht="15" customHeight="1" x14ac:dyDescent="0.3">
      <c r="A381" s="207" t="s">
        <v>740</v>
      </c>
      <c r="B381" s="208">
        <f>FRgas.aR*(MTCas.air.aR*MTCas.soil.sR/(MTCas.air.aR*(Kaw.R*FRorig.s2)/Ks2w.R+MTCas.soil.sR))*(SYSTEMAREA.R*AREAFRAC.s2R)</f>
        <v>1.5747441755496722E-2</v>
      </c>
      <c r="C381" s="209" t="s">
        <v>2072</v>
      </c>
    </row>
    <row r="382" spans="1:3" ht="15" customHeight="1" x14ac:dyDescent="0.3">
      <c r="A382" s="207" t="s">
        <v>742</v>
      </c>
      <c r="B382" s="208">
        <f>FRgas.aR*(MTCas.air.aR*MTCas.soil.sR/(MTCas.air.aR*(Kaw.R*FRorig.s3)/Ks3w.R+MTCas.soil.sR))*(SYSTEMAREA.R*AREAFRAC.s3R)</f>
        <v>2.6245736259161204E-3</v>
      </c>
      <c r="C382" s="209" t="s">
        <v>2072</v>
      </c>
    </row>
    <row r="383" spans="1:3" ht="15" customHeight="1" x14ac:dyDescent="0.3">
      <c r="A383" s="207" t="s">
        <v>302</v>
      </c>
      <c r="B383" s="208">
        <f>FRgas.aR*(MTCaw.air.aR*MTCaw.water.wR/(MTCaw.air.aR*(Kaw.R*FRorig.w1)+MTCaw.water.wR))*(SYSTEMAREA.R*AREAFRAC.w0R)</f>
        <v>2.9706758272792259E-4</v>
      </c>
      <c r="C383" s="209" t="s">
        <v>2072</v>
      </c>
    </row>
    <row r="384" spans="1:3" ht="15" customHeight="1" x14ac:dyDescent="0.3">
      <c r="A384" s="207" t="s">
        <v>1040</v>
      </c>
      <c r="B384" s="208">
        <f>FRgas.aR*(MTCaw.air.aR*MTCaw.water.wR/(MTCaw.air.aR*(Kaw.R*FRorig.w1)+MTCaw.water.wR))*(SYSTEMAREA.R*AREAFRAC.w1R)</f>
        <v>3.2677434100071485E-3</v>
      </c>
      <c r="C384" s="209" t="s">
        <v>2072</v>
      </c>
    </row>
    <row r="385" spans="1:3" ht="15" customHeight="1" x14ac:dyDescent="0.3">
      <c r="A385" s="207" t="s">
        <v>736</v>
      </c>
      <c r="B385" s="208">
        <f>FRgas.aR*(MTCaw.air.aR*MTCaw.water.wR/(MTCaw.air.aR*(Kaw.R*FRorig.w2)+MTCaw.water.wR))*(SYSTEMAREA.R*AREAFRAC.w2R)</f>
        <v>5.1987151897085868E-4</v>
      </c>
      <c r="C385" s="209" t="s">
        <v>2072</v>
      </c>
    </row>
    <row r="386" spans="1:3" ht="15" customHeight="1" x14ac:dyDescent="0.3">
      <c r="A386" s="207" t="s">
        <v>1379</v>
      </c>
      <c r="B386" s="208">
        <f>FRgas.aT*(MTCas.air.aT*MTCas.soil.sT/(MTCas.air.aT*(Kaw.T*FRorig.s1w)/Kslw.T+MTCas.soil.sT))*SYSTEMAREA.T*AREAFRAC.sT</f>
        <v>6.8064650836311644</v>
      </c>
      <c r="C386" s="206" t="s">
        <v>2072</v>
      </c>
    </row>
    <row r="387" spans="1:3" ht="15" customHeight="1" x14ac:dyDescent="0.3">
      <c r="A387" s="207" t="s">
        <v>1133</v>
      </c>
      <c r="B387" s="208">
        <f>FRgas.aT*(MTCaw.air.aT*MTCaw.water.wT/(FRorig.w1*MTCaw.air.aT*Kaw.T+MTCaw.water.wT))*SYSTEMAREA.T*AREAFRAC.wT</f>
        <v>71.904336041034824</v>
      </c>
      <c r="C387" s="206" t="s">
        <v>2072</v>
      </c>
    </row>
    <row r="388" spans="1:3" ht="15" customHeight="1" x14ac:dyDescent="0.3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3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3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3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3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3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3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3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3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3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3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3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3">
      <c r="A400" s="207" t="s">
        <v>970</v>
      </c>
      <c r="B400" s="213">
        <v>10000</v>
      </c>
      <c r="C400" s="209" t="s">
        <v>2117</v>
      </c>
    </row>
    <row r="401" spans="1:3" ht="15" customHeight="1" x14ac:dyDescent="0.3">
      <c r="A401" s="207" t="s">
        <v>697</v>
      </c>
      <c r="B401" s="213">
        <f>(-3.82*LN(IF(Tm&gt;298,Pvap25*EXP(-6.79*(1-Tm/298)),Pvap25))+70)*1000</f>
        <v>64704.355540522018</v>
      </c>
      <c r="C401" s="209" t="s">
        <v>2117</v>
      </c>
    </row>
    <row r="402" spans="1:3" ht="15" customHeight="1" x14ac:dyDescent="0.3">
      <c r="A402" s="210" t="s">
        <v>20</v>
      </c>
      <c r="B402" s="208">
        <v>1000</v>
      </c>
      <c r="C402" s="209" t="s">
        <v>719</v>
      </c>
    </row>
    <row r="403" spans="1:3" ht="15" customHeight="1" x14ac:dyDescent="0.3">
      <c r="A403" s="210" t="s">
        <v>111</v>
      </c>
      <c r="B403" s="208">
        <v>1000</v>
      </c>
      <c r="C403" s="206" t="s">
        <v>719</v>
      </c>
    </row>
    <row r="404" spans="1:3" ht="15" customHeight="1" x14ac:dyDescent="0.3">
      <c r="A404" s="210" t="s">
        <v>1189</v>
      </c>
      <c r="B404" s="208">
        <v>1000</v>
      </c>
      <c r="C404" s="209" t="s">
        <v>719</v>
      </c>
    </row>
    <row r="405" spans="1:3" ht="15" customHeight="1" x14ac:dyDescent="0.3">
      <c r="A405" s="210" t="s">
        <v>1195</v>
      </c>
      <c r="B405" s="208">
        <v>1000</v>
      </c>
      <c r="C405" s="209" t="s">
        <v>719</v>
      </c>
    </row>
    <row r="406" spans="1:3" ht="15" customHeight="1" x14ac:dyDescent="0.3">
      <c r="A406" s="210" t="s">
        <v>1412</v>
      </c>
      <c r="B406" s="213">
        <v>1000</v>
      </c>
      <c r="C406" s="209" t="s">
        <v>719</v>
      </c>
    </row>
    <row r="407" spans="1:3" ht="15" customHeight="1" x14ac:dyDescent="0.3">
      <c r="A407" s="207" t="s">
        <v>1365</v>
      </c>
      <c r="B407" s="208">
        <f>kesc.aA+FRgas.aA*kdeg.air*(C.OHrad.aA/C.OHrad)*Tempfactor.aA</f>
        <v>3.663258818281463E-10</v>
      </c>
      <c r="C407" s="209" t="s">
        <v>2082</v>
      </c>
    </row>
    <row r="408" spans="1:3" ht="15" customHeight="1" x14ac:dyDescent="0.3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3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3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3">
      <c r="A411" s="207" t="s">
        <v>830</v>
      </c>
      <c r="B411" s="208">
        <f>kesc.aC+FRgas.aC*kdeg.air*(C.OHrad.aC/C.OHrad)*Tempfactor.aC</f>
        <v>3.663258818281463E-10</v>
      </c>
      <c r="C411" s="209" t="s">
        <v>2082</v>
      </c>
    </row>
    <row r="412" spans="1:3" ht="15" customHeight="1" x14ac:dyDescent="0.3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3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3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3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3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3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3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3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3">
      <c r="A420" s="207" t="s">
        <v>843</v>
      </c>
      <c r="B420" s="208">
        <f>kesc.aM+FRgas.aM*kdeg.air*(C.OHrad.aM/C.OHrad)*Tempfactor.aM</f>
        <v>3.663258818281463E-10</v>
      </c>
      <c r="C420" s="209" t="s">
        <v>2082</v>
      </c>
    </row>
    <row r="421" spans="1:3" ht="15" customHeight="1" x14ac:dyDescent="0.3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3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3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3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3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3">
      <c r="A426" s="207" t="s">
        <v>247</v>
      </c>
      <c r="B426" s="208">
        <f>kesc.aR+FRgas.aR*kdeg.air*(C.OHrad.aR/C.OHrad)*Tempfactor.aR</f>
        <v>3.663258818281463E-10</v>
      </c>
      <c r="C426" s="209" t="s">
        <v>2082</v>
      </c>
    </row>
    <row r="427" spans="1:3" ht="15" customHeight="1" x14ac:dyDescent="0.3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3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3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3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3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3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3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3">
      <c r="A434" s="207" t="s">
        <v>1369</v>
      </c>
      <c r="B434" s="217">
        <f>kesc.aT+FRgas.aT*kdeg.air*(C.OHrad.aT/C.OHrad)*Tempfactor.aT</f>
        <v>3.663258818281463E-10</v>
      </c>
      <c r="C434" s="209" t="s">
        <v>2082</v>
      </c>
    </row>
    <row r="435" spans="1:3" ht="15" customHeight="1" x14ac:dyDescent="0.3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3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3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3">
      <c r="A438" s="207" t="s">
        <v>835</v>
      </c>
      <c r="B438" s="208">
        <f>Tempfactor.wsdsC*kdeg.soil+FRACinf.s1C*RAINrate.C/Ks1w.C*CORRleach.s1C*SYSTEMAREA.C*AREAFRAC.s1C/VOLUME.s1C</f>
        <v>6.3343050832543649E-13</v>
      </c>
      <c r="C438" s="209" t="s">
        <v>2082</v>
      </c>
    </row>
    <row r="439" spans="1:3" ht="15" customHeight="1" x14ac:dyDescent="0.3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3">
      <c r="A440" s="207" t="s">
        <v>827</v>
      </c>
      <c r="B440" s="208">
        <f>(RAINrate.C*FRACrun.s1C/Ks1w.C+EROSION.s1C)*CORRrunoff.s1C * (SYSTEMAREA.C*AREAFRAC.s1C/VOLUME.s1C)</f>
        <v>1.1818649681534741E-10</v>
      </c>
      <c r="C440" s="209" t="s">
        <v>2082</v>
      </c>
    </row>
    <row r="441" spans="1:3" ht="15" customHeight="1" x14ac:dyDescent="0.3">
      <c r="A441" s="207" t="s">
        <v>250</v>
      </c>
      <c r="B441" s="208">
        <f>Tempfactor.wsdsR*kdeg.soil+FRACinf.s1R*RAINrate.R/Ks1w.R*CORRleach.s1R*SYSTEMAREA.R*AREAFRAC.s1R/VOLUME.s1R</f>
        <v>6.3343050832543649E-13</v>
      </c>
      <c r="C441" s="209" t="s">
        <v>2082</v>
      </c>
    </row>
    <row r="442" spans="1:3" ht="15" customHeight="1" x14ac:dyDescent="0.3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3">
      <c r="A443" s="207" t="s">
        <v>244</v>
      </c>
      <c r="B443" s="208">
        <f>(RAINrate.R*FRACrun.s1R/Ks1w.R+EROSION.s1R)*CORRrunoff.s1R * (SYSTEMAREA.R*AREAFRAC.s1R/VOLUME.s1R)</f>
        <v>1.1818649681534741E-10</v>
      </c>
      <c r="C443" s="209" t="s">
        <v>2082</v>
      </c>
    </row>
    <row r="444" spans="1:3" ht="15" customHeight="1" x14ac:dyDescent="0.3">
      <c r="A444" s="207" t="s">
        <v>836</v>
      </c>
      <c r="B444" s="208">
        <f>Tempfactor.wsdsC*kdeg.soil+FRACinf.s2C*RAINrate.C/Ks2w.C*CORRleach.s2C*SYSTEMAREA.C*AREAFRAC.s2C/VOLUME.s2C</f>
        <v>2.88245236922916E-13</v>
      </c>
      <c r="C444" s="209" t="s">
        <v>2082</v>
      </c>
    </row>
    <row r="445" spans="1:3" ht="15" customHeight="1" x14ac:dyDescent="0.3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3">
      <c r="A446" s="207" t="s">
        <v>828</v>
      </c>
      <c r="B446" s="208">
        <f>(RAINrate.C*FRACrun.s2C/Ks2w.C+EROSION.s2C)*CORRrunoff.s2C * (SYSTEMAREA.C*AREAFRAC.s2C/VOLUME.s2C)</f>
        <v>5.3781265768399601E-11</v>
      </c>
      <c r="C446" s="209" t="s">
        <v>2082</v>
      </c>
    </row>
    <row r="447" spans="1:3" ht="15" customHeight="1" x14ac:dyDescent="0.3">
      <c r="A447" s="207" t="s">
        <v>251</v>
      </c>
      <c r="B447" s="208">
        <f>Tempfactor.wsdsR*kdeg.soil+FRACinf.s2R*RAINrate.R/Ks2w.R*CORRleach.s2R*SYSTEMAREA.R*AREAFRAC.s2R/VOLUME.s2R</f>
        <v>2.88245236922916E-13</v>
      </c>
      <c r="C447" s="209" t="s">
        <v>2082</v>
      </c>
    </row>
    <row r="448" spans="1:3" ht="15" customHeight="1" x14ac:dyDescent="0.3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3">
      <c r="A449" s="207" t="s">
        <v>245</v>
      </c>
      <c r="B449" s="208">
        <f>(RAINrate.R*FRACrun.s2R/Ks2w.R+EROSION.s2R)*CORRrunoff.s2R * (SYSTEMAREA.R*AREAFRAC.s2R/VOLUME.s2R)</f>
        <v>5.3781265768399595E-11</v>
      </c>
      <c r="C449" s="209" t="s">
        <v>2082</v>
      </c>
    </row>
    <row r="450" spans="1:3" ht="15" customHeight="1" x14ac:dyDescent="0.3">
      <c r="A450" s="207" t="s">
        <v>837</v>
      </c>
      <c r="B450" s="208">
        <f>Tempfactor.wsdsC*kdeg.soil+FRACinf.s3C*RAINrate.C/Ks3w.C*CORRleach.s3C*SYSTEMAREA.C*AREAFRAC.s3C/VOLUME.s3C</f>
        <v>6.3343050832543649E-13</v>
      </c>
      <c r="C450" s="209" t="s">
        <v>2082</v>
      </c>
    </row>
    <row r="451" spans="1:3" ht="15" customHeight="1" x14ac:dyDescent="0.3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3">
      <c r="A452" s="207" t="s">
        <v>829</v>
      </c>
      <c r="B452" s="208">
        <f>(RAINrate.C*FRACrun.s3C/Ks3w.C+EROSION.s3C)*CORRrunoff.s3C * (SYSTEMAREA.C*AREAFRAC.s3C/VOLUME.s3C)</f>
        <v>1.1818649681534741E-10</v>
      </c>
      <c r="C452" s="209" t="s">
        <v>2082</v>
      </c>
    </row>
    <row r="453" spans="1:3" ht="15" customHeight="1" x14ac:dyDescent="0.3">
      <c r="A453" s="207" t="s">
        <v>252</v>
      </c>
      <c r="B453" s="208">
        <f>Tempfactor.wsdsR*kdeg.soil+FRACinf.s3R*RAINrate.R/Ks3w.R*CORRleach.s3R*SYSTEMAREA.R*AREAFRAC.s3R/VOLUME.s3R</f>
        <v>6.3343050832543659E-13</v>
      </c>
      <c r="C453" s="209" t="s">
        <v>2082</v>
      </c>
    </row>
    <row r="454" spans="1:3" ht="15" customHeight="1" x14ac:dyDescent="0.3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3">
      <c r="A455" s="207" t="s">
        <v>246</v>
      </c>
      <c r="B455" s="208">
        <f>(RAINrate.R*FRACrun.s3R/Ks3w.R+EROSION.s3R)*CORRrunoff.s3R * (SYSTEMAREA.R*AREAFRAC.s3R/VOLUME.s3R)</f>
        <v>1.1818649681534741E-10</v>
      </c>
      <c r="C455" s="209" t="s">
        <v>2082</v>
      </c>
    </row>
    <row r="456" spans="1:3" ht="15" customHeight="1" x14ac:dyDescent="0.3">
      <c r="A456" s="207" t="s">
        <v>1366</v>
      </c>
      <c r="B456" s="208">
        <f>Tempfactor.wsdsA*kdeg.soil+FRACinf.sA*RAINrate.A/Kslw.A*CORRleach.sA*SYSTEMAREA.A*AREAFRAC.sA/VOLUME.sA</f>
        <v>2.2622518097823157E-13</v>
      </c>
      <c r="C456" s="209" t="s">
        <v>2082</v>
      </c>
    </row>
    <row r="457" spans="1:3" ht="15" customHeight="1" x14ac:dyDescent="0.3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3">
      <c r="A458" s="207" t="s">
        <v>1261</v>
      </c>
      <c r="B458" s="208">
        <f>(RAINrate.A*FRACrun.sA/Kslw.A+EROSION.sA)*CORRrunoff.sA * (SYSTEMAREA.A*AREAFRAC.sA/VOLUME.sA)</f>
        <v>5.775186825191467E-11</v>
      </c>
      <c r="C458" s="209" t="s">
        <v>2082</v>
      </c>
    </row>
    <row r="459" spans="1:3" ht="15" customHeight="1" x14ac:dyDescent="0.3">
      <c r="A459" s="207" t="s">
        <v>833</v>
      </c>
      <c r="B459" s="208">
        <f>Tempfactor.wsdsC*kdeg.sed+NETsedrate.w1C*SYSTEMAREA.C*AREAFRAC.w1C/VOLUME.sd1C</f>
        <v>2.8742283951576204E-9</v>
      </c>
      <c r="C459" s="209" t="s">
        <v>2082</v>
      </c>
    </row>
    <row r="460" spans="1:3" ht="15" customHeight="1" x14ac:dyDescent="0.3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3">
      <c r="A461" s="207" t="s">
        <v>249</v>
      </c>
      <c r="B461" s="208">
        <f>Tempfactor.wsdsR*kdeg.sed+NETsedrate.w1R*(SYSTEMAREA.R*AREAFRAC.w1R/VOLUME.sd1R)</f>
        <v>2.8953682563883001E-9</v>
      </c>
      <c r="C461" s="209" t="s">
        <v>2082</v>
      </c>
    </row>
    <row r="462" spans="1:3" ht="15" customHeight="1" x14ac:dyDescent="0.3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3">
      <c r="A463" s="207" t="s">
        <v>834</v>
      </c>
      <c r="B463" s="208">
        <f>Tempfactor.wsdsC*kdeg.sed+NETsedrate.w2C*SYSTEMAREA.C*AREAFRAC.w2C/VOLUME.sd2C</f>
        <v>9.1429324159056462E-10</v>
      </c>
      <c r="C463" s="209" t="s">
        <v>2082</v>
      </c>
    </row>
    <row r="464" spans="1:3" ht="15" customHeight="1" x14ac:dyDescent="0.3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3">
      <c r="A465" s="207" t="s">
        <v>258</v>
      </c>
      <c r="B465" s="208">
        <f>Tempfactor.wsdsR*kdeg.sed+NETsedrate.w2R*(SYSTEMAREA.R*AREAFRAC.w2R/VOLUME.sd2R)</f>
        <v>2.1133333333373949E-9</v>
      </c>
      <c r="C465" s="209" t="s">
        <v>2082</v>
      </c>
    </row>
    <row r="466" spans="1:3" ht="15" customHeight="1" x14ac:dyDescent="0.3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3">
      <c r="A467" s="207" t="s">
        <v>1262</v>
      </c>
      <c r="B467" s="208">
        <f>Tempfactor.wsdsA*kdeg.sed+NETsedrate.wA*SYSTEMAREA.A*AREAFRAC.wA/VOLUME.sdA</f>
        <v>2.1139861331348332E-12</v>
      </c>
      <c r="C467" s="209" t="s">
        <v>2082</v>
      </c>
    </row>
    <row r="468" spans="1:3" ht="15" customHeight="1" x14ac:dyDescent="0.3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3">
      <c r="A469" s="207" t="s">
        <v>1255</v>
      </c>
      <c r="B469" s="208">
        <f>Tempfactor.wsdsM*kdeg.sed+NETsedrate.wM*SYSTEMAREA.M*AREAFRAC.wM/VOLUME.sdM</f>
        <v>2.9839343187174201E-12</v>
      </c>
      <c r="C469" s="209" t="s">
        <v>2082</v>
      </c>
    </row>
    <row r="470" spans="1:3" ht="15" customHeight="1" x14ac:dyDescent="0.3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3">
      <c r="A471" s="207" t="s">
        <v>1267</v>
      </c>
      <c r="B471" s="208">
        <f>Tempfactor.wsdsT*kdeg.sed+NETsedrate.wT*SYSTEMAREA.T*AREAFRAC.wT/VOLUME.sdT</f>
        <v>2.1139861422509831E-12</v>
      </c>
      <c r="C471" s="209" t="s">
        <v>2082</v>
      </c>
    </row>
    <row r="472" spans="1:3" ht="15" customHeight="1" x14ac:dyDescent="0.3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3">
      <c r="A473" s="207" t="s">
        <v>845</v>
      </c>
      <c r="B473" s="208">
        <f>Tempfactor.wsdsM*kdeg.soil+FRACinf.sM*RAINrate.M/Kslw.M*CORRleach.sM*SYSTEMAREA.M*AREAFRAC.sM/VOLUME.sM</f>
        <v>6.3343050832543659E-13</v>
      </c>
      <c r="C473" s="209" t="s">
        <v>2082</v>
      </c>
    </row>
    <row r="474" spans="1:3" ht="15" customHeight="1" x14ac:dyDescent="0.3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3">
      <c r="A475" s="207" t="s">
        <v>1254</v>
      </c>
      <c r="B475" s="208">
        <f>(RAINrate.M*FRACrun.sM/Kslw.M+EROSION.sM)*CORRrunoff.sM * (SYSTEMAREA.M*AREAFRAC.sM/VOLUME.sM)</f>
        <v>1.1818649681534741E-10</v>
      </c>
      <c r="C475" s="209" t="s">
        <v>2082</v>
      </c>
    </row>
    <row r="476" spans="1:3" ht="15" customHeight="1" x14ac:dyDescent="0.3">
      <c r="A476" s="207" t="s">
        <v>1370</v>
      </c>
      <c r="B476" s="208">
        <f>Tempfactor.wsdsT*kdeg.soil+FRACinf.sT*RAINrate.T/Kslw.T*CORRleach.sT*SYSTEMAREA.T*AREAFRAC.sT/VOLUME.sT</f>
        <v>1.1763709464906098E-12</v>
      </c>
      <c r="C476" s="209" t="s">
        <v>2082</v>
      </c>
    </row>
    <row r="477" spans="1:3" ht="15" customHeight="1" x14ac:dyDescent="0.3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3">
      <c r="A478" s="207" t="s">
        <v>1266</v>
      </c>
      <c r="B478" s="208">
        <f>(RAINrate.T*FRACrun.sT/Kslw.T+EROSION.sT)*CORRrunoff.sT * (SYSTEMAREA.T*AREAFRAC.sT/VOLUME.sT)</f>
        <v>1.9876600156659107E-10</v>
      </c>
      <c r="C478" s="209" t="s">
        <v>2082</v>
      </c>
    </row>
    <row r="479" spans="1:3" ht="15" customHeight="1" x14ac:dyDescent="0.3">
      <c r="A479" s="207" t="s">
        <v>353</v>
      </c>
      <c r="B479" s="208">
        <f>kdeg.water*Tempfactor.wsdsC*(BACT.w0C/BACT.test)*FRw.w0C</f>
        <v>4.0511283273380411E-21</v>
      </c>
      <c r="C479" s="209" t="s">
        <v>2082</v>
      </c>
    </row>
    <row r="480" spans="1:3" ht="15" customHeight="1" x14ac:dyDescent="0.3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3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3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3">
      <c r="A483" s="207" t="s">
        <v>305</v>
      </c>
      <c r="B483" s="208">
        <f>kdeg.water*Tempfactor.wsdsR*(BACT.w0R/BACT.test)*FRw.w0R</f>
        <v>4.0511283273380411E-21</v>
      </c>
      <c r="C483" s="209" t="s">
        <v>2082</v>
      </c>
    </row>
    <row r="484" spans="1:3" ht="15" customHeight="1" x14ac:dyDescent="0.3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3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3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3">
      <c r="A487" s="207" t="s">
        <v>831</v>
      </c>
      <c r="B487" s="208">
        <f>kdeg.water*Tempfactor.wsdsC*(BACT.w1C/BACT.test)*FRw.w1C</f>
        <v>3.777913061940808E-21</v>
      </c>
      <c r="C487" s="209" t="s">
        <v>2082</v>
      </c>
    </row>
    <row r="488" spans="1:3" ht="15" customHeight="1" x14ac:dyDescent="0.3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3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3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3">
      <c r="A491" s="209" t="s">
        <v>261</v>
      </c>
      <c r="B491" s="208">
        <v>0</v>
      </c>
      <c r="C491" s="209" t="s">
        <v>2082</v>
      </c>
    </row>
    <row r="492" spans="1:3" ht="15" customHeight="1" x14ac:dyDescent="0.3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3">
      <c r="A493" s="207" t="s">
        <v>248</v>
      </c>
      <c r="B493" s="208">
        <f>kdeg.water*Tempfactor.wsdsR*(BACT.w1R/BACT.test)*FRw.w1R</f>
        <v>3.777913061940808E-21</v>
      </c>
      <c r="C493" s="209" t="s">
        <v>2082</v>
      </c>
    </row>
    <row r="494" spans="1:3" ht="15" customHeight="1" x14ac:dyDescent="0.3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3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3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3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3">
      <c r="A498" s="207" t="s">
        <v>1046</v>
      </c>
      <c r="B498" s="208">
        <f>kdeg.water*Tempfactor.wsdsA*(BACT.w2A/BACT.test)*FRw.w2A</f>
        <v>8.6232413145018086E-22</v>
      </c>
      <c r="C498" s="209" t="s">
        <v>2082</v>
      </c>
    </row>
    <row r="499" spans="1:3" ht="15" customHeight="1" x14ac:dyDescent="0.3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3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3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3">
      <c r="A502" s="207" t="s">
        <v>832</v>
      </c>
      <c r="B502" s="208">
        <f>kdeg.water*Tempfactor.wsdsC*(BACT.w2C/BACT.test)*FRw.w2C</f>
        <v>3.9622012450842787E-21</v>
      </c>
      <c r="C502" s="209" t="s">
        <v>2082</v>
      </c>
    </row>
    <row r="503" spans="1:3" ht="15" customHeight="1" x14ac:dyDescent="0.3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3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3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3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3">
      <c r="A507" s="207" t="s">
        <v>1045</v>
      </c>
      <c r="B507" s="208">
        <f>kdeg.water*Tempfactor.wsdsM*(BACT.w2M/BACT.test)*FRw.w2M</f>
        <v>3.9622012450842787E-21</v>
      </c>
      <c r="C507" s="209" t="s">
        <v>2082</v>
      </c>
    </row>
    <row r="508" spans="1:3" ht="15" customHeight="1" x14ac:dyDescent="0.3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3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3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3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3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3">
      <c r="A513" s="207" t="s">
        <v>255</v>
      </c>
      <c r="B513" s="208">
        <f>kdeg.water*Tempfactor.wsdsR*(BACT.w2R/BACT.test)*FRw.w2R</f>
        <v>3.9622012450842787E-21</v>
      </c>
      <c r="C513" s="209" t="s">
        <v>2082</v>
      </c>
    </row>
    <row r="514" spans="1:3" ht="15" customHeight="1" x14ac:dyDescent="0.3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3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3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3">
      <c r="A517" s="207" t="s">
        <v>1047</v>
      </c>
      <c r="B517" s="208">
        <f>kdeg.water*Tempfactor.wsdsT*(BACT.w2T/BACT.test)*FRw.w2T</f>
        <v>9.7560838548675609E-21</v>
      </c>
      <c r="C517" s="209" t="s">
        <v>2082</v>
      </c>
    </row>
    <row r="518" spans="1:3" ht="15" customHeight="1" x14ac:dyDescent="0.3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3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3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3">
      <c r="A521" s="207" t="s">
        <v>1170</v>
      </c>
      <c r="B521" s="208">
        <f>kdeg.water*Tempfactor.wsdsA*(BACT.w3A/BACT.test)*FRw.w3A</f>
        <v>8.6232413145018086E-22</v>
      </c>
      <c r="C521" s="209" t="s">
        <v>2082</v>
      </c>
    </row>
    <row r="522" spans="1:3" ht="15" customHeight="1" x14ac:dyDescent="0.3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3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3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3">
      <c r="A525" s="207" t="s">
        <v>1169</v>
      </c>
      <c r="B525" s="208">
        <f>kdeg.water*Tempfactor.wsdsM*(BACT.w3M/BACT.test)*FRw.w3M</f>
        <v>3.9622012450842787E-21</v>
      </c>
      <c r="C525" s="209" t="s">
        <v>2082</v>
      </c>
    </row>
    <row r="526" spans="1:3" ht="15" customHeight="1" x14ac:dyDescent="0.3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3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3">
      <c r="A528" s="209" t="s">
        <v>132</v>
      </c>
      <c r="B528" s="208">
        <v>0</v>
      </c>
      <c r="C528" s="209" t="s">
        <v>2082</v>
      </c>
    </row>
    <row r="529" spans="1:3" ht="15" customHeight="1" x14ac:dyDescent="0.3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3">
      <c r="A530" s="207" t="s">
        <v>1171</v>
      </c>
      <c r="B530" s="208">
        <f>kdeg.water*Tempfactor.wsdsT*(BACT.w3T/BACT.test)*FRw.w3T</f>
        <v>9.7560838548675609E-21</v>
      </c>
      <c r="C530" s="209" t="s">
        <v>2082</v>
      </c>
    </row>
    <row r="531" spans="1:3" ht="15" customHeight="1" x14ac:dyDescent="0.3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3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3">
      <c r="A533" s="209" t="s">
        <v>59</v>
      </c>
      <c r="B533" s="208">
        <v>0</v>
      </c>
      <c r="C533" s="209" t="s">
        <v>2082</v>
      </c>
    </row>
    <row r="534" spans="1:3" ht="15" customHeight="1" x14ac:dyDescent="0.3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3">
      <c r="A535" s="206" t="s">
        <v>643</v>
      </c>
      <c r="B535" s="215">
        <f>0.54*(Kow/Kaw)*CORGaers*(RHOaers/1000)</f>
        <v>1.944E+20</v>
      </c>
      <c r="C535" s="206" t="s">
        <v>1549</v>
      </c>
    </row>
    <row r="536" spans="1:3" ht="15" customHeight="1" x14ac:dyDescent="0.3">
      <c r="A536" s="206" t="s">
        <v>628</v>
      </c>
      <c r="B536" s="215">
        <f>0.54*(Kow/Kaw)*CORGaers*(RHOaers/1000)</f>
        <v>1.944E+20</v>
      </c>
      <c r="C536" s="206" t="s">
        <v>1549</v>
      </c>
    </row>
    <row r="537" spans="1:3" ht="15" customHeight="1" x14ac:dyDescent="0.3">
      <c r="A537" s="206" t="s">
        <v>638</v>
      </c>
      <c r="B537" s="215">
        <f>0.54*(Kow/Kaw)*CORGaers*(RHOaers/1000)</f>
        <v>1.944E+20</v>
      </c>
      <c r="C537" s="206" t="s">
        <v>1549</v>
      </c>
    </row>
    <row r="538" spans="1:3" ht="15" customHeight="1" x14ac:dyDescent="0.3">
      <c r="A538" s="206" t="s">
        <v>614</v>
      </c>
      <c r="B538" s="215">
        <f>0.54*(Kow/Kaw)*CORGaers*(RHOaers/1000)</f>
        <v>1.944E+20</v>
      </c>
      <c r="C538" s="206" t="s">
        <v>1549</v>
      </c>
    </row>
    <row r="539" spans="1:3" ht="15" customHeight="1" x14ac:dyDescent="0.3">
      <c r="A539" s="206" t="s">
        <v>633</v>
      </c>
      <c r="B539" s="215">
        <f>0.54*(Kow/Kaw)*CORGaers*(RHOaers/1000)</f>
        <v>1.944E+20</v>
      </c>
      <c r="C539" s="206" t="s">
        <v>1549</v>
      </c>
    </row>
    <row r="540" spans="1:3" ht="15" customHeight="1" x14ac:dyDescent="0.3">
      <c r="A540" s="206" t="s">
        <v>642</v>
      </c>
      <c r="B540" s="215">
        <f>1/(Kaw.A*FRorig.aerw)</f>
        <v>1.6667159126475929E+21</v>
      </c>
      <c r="C540" s="206" t="s">
        <v>1548</v>
      </c>
    </row>
    <row r="541" spans="1:3" ht="15" customHeight="1" x14ac:dyDescent="0.3">
      <c r="A541" s="206" t="s">
        <v>627</v>
      </c>
      <c r="B541" s="215">
        <f>1/(Kaw.C*FRorig.aerw)</f>
        <v>2.6183532619132853E+20</v>
      </c>
      <c r="C541" s="206" t="s">
        <v>1548</v>
      </c>
    </row>
    <row r="542" spans="1:3" ht="15" customHeight="1" x14ac:dyDescent="0.3">
      <c r="A542" s="206" t="s">
        <v>637</v>
      </c>
      <c r="B542" s="215">
        <f>1/(Kaw.M*FRorig.aerw)</f>
        <v>2.6183532619132853E+20</v>
      </c>
      <c r="C542" s="206" t="s">
        <v>1548</v>
      </c>
    </row>
    <row r="543" spans="1:3" ht="15" customHeight="1" x14ac:dyDescent="0.3">
      <c r="A543" s="206" t="s">
        <v>611</v>
      </c>
      <c r="B543" s="215">
        <f>1/(Kaw.R*FRorig.aerw)</f>
        <v>2.6183532619132853E+20</v>
      </c>
      <c r="C543" s="206" t="s">
        <v>1548</v>
      </c>
    </row>
    <row r="544" spans="1:3" ht="15" customHeight="1" x14ac:dyDescent="0.3">
      <c r="A544" s="206" t="s">
        <v>632</v>
      </c>
      <c r="B544" s="215">
        <f>1/(Kaw.T*FRorig.aerw)</f>
        <v>1E+20</v>
      </c>
      <c r="C544" s="206" t="s">
        <v>1548</v>
      </c>
    </row>
    <row r="545" spans="1:3" ht="15" customHeight="1" x14ac:dyDescent="0.3">
      <c r="A545" s="209" t="s">
        <v>2045</v>
      </c>
      <c r="B545" s="215">
        <f>Kaw*EXP((H0vap/8.314)*(1/298-1/TEMP.A))*EXP(-(H0sol/8.314)*(1/298-1/TEMP.A))*(298/TEMP.A)</f>
        <v>5.9998227197068703E-22</v>
      </c>
      <c r="C545" s="209" t="s">
        <v>36</v>
      </c>
    </row>
    <row r="546" spans="1:3" ht="15" customHeight="1" x14ac:dyDescent="0.3">
      <c r="A546" s="209" t="s">
        <v>2020</v>
      </c>
      <c r="B546" s="215">
        <f>Kaw*EXP((H0vap/8.314)*(1/298-1/TEMP.C))*EXP(-(H0sol/8.314)*(1/298-1/TEMP.C))*(298/TEMP.C)</f>
        <v>3.8191943560330707E-21</v>
      </c>
      <c r="C546" s="209" t="s">
        <v>36</v>
      </c>
    </row>
    <row r="547" spans="1:3" ht="15" customHeight="1" x14ac:dyDescent="0.3">
      <c r="A547" s="209" t="s">
        <v>2037</v>
      </c>
      <c r="B547" s="208">
        <f>Kaw*EXP((H0vap/8.314)*(1/298-1/TEMP.M))*EXP(-(H0sol/8.314)*(1/298-1/TEMP.M))*(298/TEMP.M)</f>
        <v>3.8191943560330707E-21</v>
      </c>
      <c r="C547" s="209" t="s">
        <v>36</v>
      </c>
    </row>
    <row r="548" spans="1:3" ht="15" customHeight="1" x14ac:dyDescent="0.3">
      <c r="A548" s="206" t="s">
        <v>2019</v>
      </c>
      <c r="B548" s="215">
        <f>Kaw*EXP((H0vap/8.314)*(1/298-1/TEMP.R))*EXP(-(H0sol/8.314)*(1/298-1/TEMP.R))*(298/TEMP.R)</f>
        <v>3.8191943560330707E-21</v>
      </c>
      <c r="C548" s="206" t="s">
        <v>2084</v>
      </c>
    </row>
    <row r="549" spans="1:3" ht="15" customHeight="1" x14ac:dyDescent="0.3">
      <c r="A549" s="209" t="s">
        <v>2049</v>
      </c>
      <c r="B549" s="215">
        <f>Kaw*EXP((H0vap/8.314)*(1/298-1/TEMP.T))*EXP(-(H0sol/8.314)*(1/298-1/TEMP.T))*(298/TEMP.T)</f>
        <v>9.9999999999999995E-21</v>
      </c>
      <c r="C549" s="209" t="s">
        <v>36</v>
      </c>
    </row>
    <row r="550" spans="1:3" ht="15" customHeight="1" x14ac:dyDescent="0.3">
      <c r="A550" s="207" t="s">
        <v>671</v>
      </c>
      <c r="B550" s="208">
        <f>FRgas.aA*kdeg.air*(C.OHrad.aA/C.OHrad)*Tempfactor.aA</f>
        <v>2.0214925174642772E-31</v>
      </c>
      <c r="C550" s="209" t="s">
        <v>2082</v>
      </c>
    </row>
    <row r="551" spans="1:3" ht="15" customHeight="1" x14ac:dyDescent="0.3">
      <c r="A551" s="207" t="s">
        <v>1203</v>
      </c>
      <c r="B551" s="208">
        <f>FRgas.aC*kdeg.air*(C.OHrad.aC/C.OHrad)*Tempfactor.aC</f>
        <v>9.8605221309046349E-31</v>
      </c>
      <c r="C551" s="209" t="s">
        <v>2082</v>
      </c>
    </row>
    <row r="552" spans="1:3" ht="15" customHeight="1" x14ac:dyDescent="0.3">
      <c r="A552" s="207" t="s">
        <v>192</v>
      </c>
      <c r="B552" s="208">
        <f>FRgas.aM*kdeg.air*(C.OHrad.aM/C.OHrad)*Tempfactor.aM</f>
        <v>9.8605221309046349E-31</v>
      </c>
      <c r="C552" s="209" t="s">
        <v>2082</v>
      </c>
    </row>
    <row r="553" spans="1:3" ht="15" customHeight="1" x14ac:dyDescent="0.3">
      <c r="A553" s="207" t="s">
        <v>464</v>
      </c>
      <c r="B553" s="208">
        <f>FRgas.aR*kdeg.air*(C.OHrad.aR/C.OHrad)*Tempfactor.aR</f>
        <v>9.8605221309046349E-31</v>
      </c>
      <c r="C553" s="209" t="s">
        <v>2082</v>
      </c>
    </row>
    <row r="554" spans="1:3" ht="15" customHeight="1" x14ac:dyDescent="0.3">
      <c r="A554" s="207" t="s">
        <v>52</v>
      </c>
      <c r="B554" s="208">
        <f>FRgas.aT*kdeg.air*(C.OHrad.aT/C.OHrad)*Tempfactor.aT</f>
        <v>1.6983692230354561E-30</v>
      </c>
      <c r="C554" s="209" t="s">
        <v>2082</v>
      </c>
    </row>
    <row r="555" spans="1:3" ht="15" customHeight="1" x14ac:dyDescent="0.3">
      <c r="A555" s="207" t="s">
        <v>1293</v>
      </c>
      <c r="B555" s="215">
        <f>Tempfactor.wsdsC*kdeg.soil</f>
        <v>4.0612619817811774E-21</v>
      </c>
      <c r="C555" s="209" t="s">
        <v>2082</v>
      </c>
    </row>
    <row r="556" spans="1:3" ht="15" customHeight="1" x14ac:dyDescent="0.3">
      <c r="A556" s="207" t="s">
        <v>1335</v>
      </c>
      <c r="B556" s="208">
        <f>Tempfactor.wsdsR*kdeg.soil</f>
        <v>4.0612619817811774E-21</v>
      </c>
      <c r="C556" s="209" t="s">
        <v>2082</v>
      </c>
    </row>
    <row r="557" spans="1:3" ht="15" customHeight="1" x14ac:dyDescent="0.3">
      <c r="A557" s="207" t="s">
        <v>1294</v>
      </c>
      <c r="B557" s="215">
        <f>Tempfactor.wsdsC*kdeg.soil</f>
        <v>4.0612619817811774E-21</v>
      </c>
      <c r="C557" s="209" t="s">
        <v>2082</v>
      </c>
    </row>
    <row r="558" spans="1:3" ht="15" customHeight="1" x14ac:dyDescent="0.3">
      <c r="A558" s="207" t="s">
        <v>1336</v>
      </c>
      <c r="B558" s="208">
        <f>Tempfactor.wsdsR*kdeg.soil</f>
        <v>4.0612619817811774E-21</v>
      </c>
      <c r="C558" s="209" t="s">
        <v>2082</v>
      </c>
    </row>
    <row r="559" spans="1:3" ht="15" customHeight="1" x14ac:dyDescent="0.3">
      <c r="A559" s="207" t="s">
        <v>1202</v>
      </c>
      <c r="B559" s="215">
        <f>Tempfactor.wsdsC*kdeg.soil</f>
        <v>4.0612619817811774E-21</v>
      </c>
      <c r="C559" s="209" t="s">
        <v>2082</v>
      </c>
    </row>
    <row r="560" spans="1:3" ht="15" customHeight="1" x14ac:dyDescent="0.3">
      <c r="A560" s="207" t="s">
        <v>1337</v>
      </c>
      <c r="B560" s="208">
        <f>Tempfactor.wsdsR*kdeg.soil</f>
        <v>4.0612619817811774E-21</v>
      </c>
      <c r="C560" s="209" t="s">
        <v>2082</v>
      </c>
    </row>
    <row r="561" spans="1:3" ht="15" customHeight="1" x14ac:dyDescent="0.3">
      <c r="A561" s="207" t="s">
        <v>673</v>
      </c>
      <c r="B561" s="215">
        <f>Tempfactor.wsdsA*kdeg.soil</f>
        <v>8.8388347648318438E-22</v>
      </c>
      <c r="C561" s="209" t="s">
        <v>2082</v>
      </c>
    </row>
    <row r="562" spans="1:3" ht="15" customHeight="1" x14ac:dyDescent="0.3">
      <c r="A562" s="207" t="s">
        <v>1014</v>
      </c>
      <c r="B562" s="215">
        <f>Tempfactor.wsdsC*kdeg.sed</f>
        <v>4.0612619817811774E-21</v>
      </c>
      <c r="C562" s="209" t="s">
        <v>2082</v>
      </c>
    </row>
    <row r="563" spans="1:3" ht="15" customHeight="1" x14ac:dyDescent="0.3">
      <c r="A563" s="207" t="s">
        <v>1333</v>
      </c>
      <c r="B563" s="208">
        <f>Tempfactor.wsdsR*kdeg.sed</f>
        <v>4.0612619817811774E-21</v>
      </c>
      <c r="C563" s="209" t="s">
        <v>2082</v>
      </c>
    </row>
    <row r="564" spans="1:3" ht="15" customHeight="1" x14ac:dyDescent="0.3">
      <c r="A564" s="207" t="s">
        <v>1292</v>
      </c>
      <c r="B564" s="215">
        <f>Tempfactor.wsdsC*kdeg.sed</f>
        <v>4.0612619817811774E-21</v>
      </c>
      <c r="C564" s="209" t="s">
        <v>2082</v>
      </c>
    </row>
    <row r="565" spans="1:3" ht="15" customHeight="1" x14ac:dyDescent="0.3">
      <c r="A565" s="207" t="s">
        <v>1334</v>
      </c>
      <c r="B565" s="208">
        <f>Tempfactor.wsdsR*kdeg.sed</f>
        <v>4.0612619817811774E-21</v>
      </c>
      <c r="C565" s="209" t="s">
        <v>2082</v>
      </c>
    </row>
    <row r="566" spans="1:3" ht="15" customHeight="1" x14ac:dyDescent="0.3">
      <c r="A566" s="207" t="s">
        <v>672</v>
      </c>
      <c r="B566" s="215">
        <f>Tempfactor.wsdsA*kdeg.sed</f>
        <v>8.8388347648318438E-22</v>
      </c>
      <c r="C566" s="209" t="s">
        <v>2082</v>
      </c>
    </row>
    <row r="567" spans="1:3" ht="15" customHeight="1" x14ac:dyDescent="0.3">
      <c r="A567" s="207" t="s">
        <v>193</v>
      </c>
      <c r="B567" s="208">
        <f>Tempfactor.wsdsM*kdeg.sed</f>
        <v>4.0612619817811774E-21</v>
      </c>
      <c r="C567" s="209" t="s">
        <v>2082</v>
      </c>
    </row>
    <row r="568" spans="1:3" ht="15" customHeight="1" x14ac:dyDescent="0.3">
      <c r="A568" s="207" t="s">
        <v>53</v>
      </c>
      <c r="B568" s="208">
        <f>Tempfactor.wsdsT*kdeg.sed</f>
        <v>9.9999999999999995E-21</v>
      </c>
      <c r="C568" s="209" t="s">
        <v>2082</v>
      </c>
    </row>
    <row r="569" spans="1:3" ht="15" customHeight="1" x14ac:dyDescent="0.3">
      <c r="A569" s="207" t="s">
        <v>194</v>
      </c>
      <c r="B569" s="208">
        <f>Tempfactor.wsdsM*kdeg.soil</f>
        <v>4.0612619817811774E-21</v>
      </c>
      <c r="C569" s="209" t="s">
        <v>2082</v>
      </c>
    </row>
    <row r="570" spans="1:3" ht="15" customHeight="1" x14ac:dyDescent="0.3">
      <c r="A570" s="207" t="s">
        <v>54</v>
      </c>
      <c r="B570" s="208">
        <f>Tempfactor.wsdsT*kdeg.soil</f>
        <v>9.9999999999999995E-21</v>
      </c>
      <c r="C570" s="209" t="s">
        <v>2082</v>
      </c>
    </row>
    <row r="571" spans="1:3" ht="15" customHeight="1" x14ac:dyDescent="0.3">
      <c r="A571" s="207" t="s">
        <v>354</v>
      </c>
      <c r="B571" s="208">
        <f>kdeg.water*Tempfactor.wsdsC*(BACT.w0C/BACT.test)*FRw.w0C</f>
        <v>4.0511283273380411E-21</v>
      </c>
      <c r="C571" s="209" t="s">
        <v>2082</v>
      </c>
    </row>
    <row r="572" spans="1:3" ht="15" customHeight="1" x14ac:dyDescent="0.3">
      <c r="A572" s="207" t="s">
        <v>306</v>
      </c>
      <c r="B572" s="208">
        <f>kdeg.water*Tempfactor.wsdsR*(BACT.w0R/BACT.test)*FRw.w0R</f>
        <v>4.0511283273380411E-21</v>
      </c>
      <c r="C572" s="209" t="s">
        <v>2082</v>
      </c>
    </row>
    <row r="573" spans="1:3" ht="15" customHeight="1" x14ac:dyDescent="0.3">
      <c r="A573" s="207" t="s">
        <v>1012</v>
      </c>
      <c r="B573" s="208">
        <f>kdeg.water*Tempfactor.wsdsC*(BACT.w1C/BACT.test)*FRw.w1C</f>
        <v>3.777913061940808E-21</v>
      </c>
      <c r="C573" s="209" t="s">
        <v>2082</v>
      </c>
    </row>
    <row r="574" spans="1:3" ht="15" customHeight="1" x14ac:dyDescent="0.3">
      <c r="A574" s="207" t="s">
        <v>851</v>
      </c>
      <c r="B574" s="208">
        <f>kdeg.water*Tempfactor.wsdsR*(BACT.w1R/BACT.test)*FRw.w1R</f>
        <v>3.777913061940808E-21</v>
      </c>
      <c r="C574" s="209" t="s">
        <v>2082</v>
      </c>
    </row>
    <row r="575" spans="1:3" ht="15" customHeight="1" x14ac:dyDescent="0.3">
      <c r="A575" s="207" t="s">
        <v>1158</v>
      </c>
      <c r="B575" s="215">
        <f>kdeg.water*Tempfactor.wsdsA*(BACT.w2A/BACT.test)*FRw.w2A</f>
        <v>8.6232413145018086E-22</v>
      </c>
      <c r="C575" s="209" t="s">
        <v>2082</v>
      </c>
    </row>
    <row r="576" spans="1:3" ht="15" customHeight="1" x14ac:dyDescent="0.3">
      <c r="A576" s="207" t="s">
        <v>1013</v>
      </c>
      <c r="B576" s="208">
        <f>kdeg.water*Tempfactor.wsdsC*(BACT.w2C/BACT.test)*FRw.w2C</f>
        <v>3.9622012450842787E-21</v>
      </c>
      <c r="C576" s="209" t="s">
        <v>2082</v>
      </c>
    </row>
    <row r="577" spans="1:3" ht="15" customHeight="1" x14ac:dyDescent="0.3">
      <c r="A577" s="207" t="s">
        <v>149</v>
      </c>
      <c r="B577" s="208">
        <f>kdeg.water*Tempfactor.wsdsM*(BACT.w2M/BACT.test)*FRw.w2M</f>
        <v>3.9622012450842787E-21</v>
      </c>
      <c r="C577" s="209" t="s">
        <v>2082</v>
      </c>
    </row>
    <row r="578" spans="1:3" ht="15" customHeight="1" x14ac:dyDescent="0.3">
      <c r="A578" s="207" t="s">
        <v>852</v>
      </c>
      <c r="B578" s="208">
        <f>kdeg.water*Tempfactor.wsdsR*(BACT.w2R/BACT.test)*FRw.w2R</f>
        <v>3.9622012450842787E-21</v>
      </c>
      <c r="C578" s="209" t="s">
        <v>2082</v>
      </c>
    </row>
    <row r="579" spans="1:3" ht="15" customHeight="1" x14ac:dyDescent="0.3">
      <c r="A579" s="207" t="s">
        <v>1137</v>
      </c>
      <c r="B579" s="208">
        <f>kdeg.water*Tempfactor.wsdsT*(BACT.w2T/BACT.test)*FRw.w2T</f>
        <v>9.7560838548675609E-21</v>
      </c>
      <c r="C579" s="209" t="s">
        <v>2082</v>
      </c>
    </row>
    <row r="580" spans="1:3" ht="15" customHeight="1" x14ac:dyDescent="0.3">
      <c r="A580" s="207" t="s">
        <v>1159</v>
      </c>
      <c r="B580" s="215">
        <f>kdeg.water*Tempfactor.wsdsA*(BACT.w3A/BACT.test)*FRw.w3A</f>
        <v>8.6232413145018086E-22</v>
      </c>
      <c r="C580" s="209" t="s">
        <v>2082</v>
      </c>
    </row>
    <row r="581" spans="1:3" ht="15" customHeight="1" x14ac:dyDescent="0.3">
      <c r="A581" s="207" t="s">
        <v>150</v>
      </c>
      <c r="B581" s="208">
        <f>kdeg.water*Tempfactor.wsdsM*(BACT.w3M/BACT.test)*FRw.w3M</f>
        <v>3.9622012450842787E-21</v>
      </c>
      <c r="C581" s="209" t="s">
        <v>2082</v>
      </c>
    </row>
    <row r="582" spans="1:3" ht="15" customHeight="1" x14ac:dyDescent="0.3">
      <c r="A582" s="207" t="s">
        <v>1139</v>
      </c>
      <c r="B582" s="208">
        <f>kdeg.water*Tempfactor.wsdsT*(BACT.w3T/BACT.test)*FRw.w3T</f>
        <v>9.7560838548675609E-21</v>
      </c>
      <c r="C582" s="209" t="s">
        <v>2082</v>
      </c>
    </row>
    <row r="583" spans="1:3" ht="15" customHeight="1" x14ac:dyDescent="0.3">
      <c r="A583" s="207" t="s">
        <v>758</v>
      </c>
      <c r="B583" s="216" t="s">
        <v>2090</v>
      </c>
      <c r="C583" s="209" t="s">
        <v>2082</v>
      </c>
    </row>
    <row r="584" spans="1:3" ht="15" customHeight="1" x14ac:dyDescent="0.3">
      <c r="A584" s="207" t="s">
        <v>997</v>
      </c>
      <c r="B584" s="216" t="s">
        <v>2091</v>
      </c>
      <c r="C584" s="209" t="s">
        <v>2082</v>
      </c>
    </row>
    <row r="585" spans="1:3" ht="15" customHeight="1" x14ac:dyDescent="0.3">
      <c r="A585" s="207" t="s">
        <v>750</v>
      </c>
      <c r="B585" s="216" t="s">
        <v>2092</v>
      </c>
      <c r="C585" s="209" t="s">
        <v>2082</v>
      </c>
    </row>
    <row r="586" spans="1:3" ht="15" customHeight="1" x14ac:dyDescent="0.3">
      <c r="A586" s="207" t="s">
        <v>926</v>
      </c>
      <c r="B586" s="216" t="s">
        <v>2093</v>
      </c>
      <c r="C586" s="209" t="s">
        <v>2082</v>
      </c>
    </row>
    <row r="587" spans="1:3" ht="15" customHeight="1" x14ac:dyDescent="0.3">
      <c r="A587" s="207" t="s">
        <v>427</v>
      </c>
      <c r="B587" s="216" t="s">
        <v>2094</v>
      </c>
      <c r="C587" s="209" t="s">
        <v>2082</v>
      </c>
    </row>
    <row r="588" spans="1:3" ht="15" customHeight="1" x14ac:dyDescent="0.3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3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3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3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3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3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3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3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3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3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3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3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3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3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3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3">
      <c r="A603" s="210" t="s">
        <v>346</v>
      </c>
      <c r="B603" s="208">
        <f>0.08*D</f>
        <v>1.44</v>
      </c>
      <c r="C603" s="209" t="s">
        <v>1039</v>
      </c>
    </row>
    <row r="604" spans="1:3" ht="15" customHeight="1" x14ac:dyDescent="0.3">
      <c r="A604" s="210" t="s">
        <v>296</v>
      </c>
      <c r="B604" s="208">
        <f>0.08*D</f>
        <v>1.44</v>
      </c>
      <c r="C604" s="209" t="s">
        <v>1039</v>
      </c>
    </row>
    <row r="605" spans="1:3" ht="15" customHeight="1" x14ac:dyDescent="0.3">
      <c r="A605" s="210" t="s">
        <v>555</v>
      </c>
      <c r="B605" s="208">
        <f>0.08*D</f>
        <v>1.44</v>
      </c>
      <c r="C605" s="209" t="s">
        <v>1039</v>
      </c>
    </row>
    <row r="606" spans="1:3" ht="15" customHeight="1" x14ac:dyDescent="0.3">
      <c r="A606" s="210" t="s">
        <v>550</v>
      </c>
      <c r="B606" s="208">
        <f>0.08*D</f>
        <v>1.44</v>
      </c>
      <c r="C606" s="209" t="s">
        <v>1039</v>
      </c>
    </row>
    <row r="607" spans="1:3" ht="15" customHeight="1" x14ac:dyDescent="0.3">
      <c r="A607" s="210" t="s">
        <v>1153</v>
      </c>
      <c r="B607" s="208">
        <v>220</v>
      </c>
      <c r="C607" s="209" t="s">
        <v>1039</v>
      </c>
    </row>
    <row r="608" spans="1:3" ht="15" customHeight="1" x14ac:dyDescent="0.3">
      <c r="A608" s="210" t="s">
        <v>557</v>
      </c>
      <c r="B608" s="208">
        <f>0.08*D</f>
        <v>1.44</v>
      </c>
      <c r="C608" s="209" t="s">
        <v>1039</v>
      </c>
    </row>
    <row r="609" spans="1:3" ht="15" customHeight="1" x14ac:dyDescent="0.3">
      <c r="A609" s="210" t="s">
        <v>140</v>
      </c>
      <c r="B609" s="208">
        <v>220</v>
      </c>
      <c r="C609" s="209" t="s">
        <v>1039</v>
      </c>
    </row>
    <row r="610" spans="1:3" ht="15" customHeight="1" x14ac:dyDescent="0.3">
      <c r="A610" s="210" t="s">
        <v>553</v>
      </c>
      <c r="B610" s="208">
        <f>0.08*D</f>
        <v>1.44</v>
      </c>
      <c r="C610" s="209" t="s">
        <v>1039</v>
      </c>
    </row>
    <row r="611" spans="1:3" ht="15" customHeight="1" x14ac:dyDescent="0.3">
      <c r="A611" s="210" t="s">
        <v>1128</v>
      </c>
      <c r="B611" s="208">
        <v>220</v>
      </c>
      <c r="C611" s="209" t="s">
        <v>1039</v>
      </c>
    </row>
    <row r="612" spans="1:3" ht="15" customHeight="1" x14ac:dyDescent="0.3">
      <c r="A612" s="210" t="s">
        <v>1154</v>
      </c>
      <c r="B612" s="208">
        <v>220</v>
      </c>
      <c r="C612" s="209" t="s">
        <v>1039</v>
      </c>
    </row>
    <row r="613" spans="1:3" ht="15" customHeight="1" x14ac:dyDescent="0.3">
      <c r="A613" s="210" t="s">
        <v>141</v>
      </c>
      <c r="B613" s="208">
        <v>220</v>
      </c>
      <c r="C613" s="209" t="s">
        <v>1039</v>
      </c>
    </row>
    <row r="614" spans="1:3" ht="15" customHeight="1" x14ac:dyDescent="0.3">
      <c r="A614" s="210" t="s">
        <v>1129</v>
      </c>
      <c r="B614" s="208">
        <v>220</v>
      </c>
      <c r="C614" s="209" t="s">
        <v>1039</v>
      </c>
    </row>
    <row r="615" spans="1:3" ht="15" customHeight="1" x14ac:dyDescent="0.3">
      <c r="A615" s="210" t="s">
        <v>125</v>
      </c>
      <c r="B615" s="208">
        <f>(FRorig.s1*Ksw+(1-FRorig.s1)*Ksw.alt)*(1000/RHOsolid/CORG)*CORG.s1C</f>
        <v>1000</v>
      </c>
      <c r="C615" s="209" t="s">
        <v>1039</v>
      </c>
    </row>
    <row r="616" spans="1:3" ht="15" customHeight="1" x14ac:dyDescent="0.3">
      <c r="A616" s="210" t="s">
        <v>126</v>
      </c>
      <c r="B616" s="208">
        <f>(FRorig.s1*Ksw+(1-FRorig.s1)*Ksw.alt)*(1000/RHOsolid/CORG)*CORG.s1R</f>
        <v>1000</v>
      </c>
      <c r="C616" s="209" t="s">
        <v>2085</v>
      </c>
    </row>
    <row r="617" spans="1:3" ht="15" customHeight="1" x14ac:dyDescent="0.3">
      <c r="A617" s="210" t="s">
        <v>167</v>
      </c>
      <c r="B617" s="208">
        <f>(FRorig.s2*Ksw+(1-FRorig.s2)*Ksw.alt)*(1000/RHOsolid/CORG)*CORG.s2C</f>
        <v>1000</v>
      </c>
      <c r="C617" s="209" t="s">
        <v>1039</v>
      </c>
    </row>
    <row r="618" spans="1:3" ht="15" customHeight="1" x14ac:dyDescent="0.3">
      <c r="A618" s="210" t="s">
        <v>168</v>
      </c>
      <c r="B618" s="208">
        <f>(FRorig.s2*Ksw+(1-FRorig.s2)*Ksw.alt)*(1000/RHOsolid/CORG)*CORG.s2R</f>
        <v>1000</v>
      </c>
      <c r="C618" s="209" t="s">
        <v>2085</v>
      </c>
    </row>
    <row r="619" spans="1:3" ht="15" customHeight="1" x14ac:dyDescent="0.3">
      <c r="A619" s="210" t="s">
        <v>169</v>
      </c>
      <c r="B619" s="208">
        <f>(FRorig.s2*Ksw+(1-FRorig.s2)*Ksw.alt)*(1000/RHOsolid/CORG)*CORG.s3C</f>
        <v>1000</v>
      </c>
      <c r="C619" s="209" t="s">
        <v>1039</v>
      </c>
    </row>
    <row r="620" spans="1:3" ht="15" customHeight="1" x14ac:dyDescent="0.3">
      <c r="A620" s="210" t="s">
        <v>170</v>
      </c>
      <c r="B620" s="208">
        <f>(FRorig.s3*Ksw+(1-FRorig.s3)*Ksw.alt)*(1000/RHOsolid/CORG)*CORG.s3R</f>
        <v>1000</v>
      </c>
      <c r="C620" s="209" t="s">
        <v>2085</v>
      </c>
    </row>
    <row r="621" spans="1:3" ht="15" customHeight="1" x14ac:dyDescent="0.3">
      <c r="A621" s="210" t="s">
        <v>171</v>
      </c>
      <c r="B621" s="208">
        <f>(FRorig.s1*Ksw+(1-FRorig.s1)*Ksw.alt)*(1000/RHOsolid/CORG)*CORG.sA</f>
        <v>1000</v>
      </c>
      <c r="C621" s="209" t="s">
        <v>2085</v>
      </c>
    </row>
    <row r="622" spans="1:3" ht="15" customHeight="1" x14ac:dyDescent="0.3">
      <c r="A622" s="210" t="s">
        <v>172</v>
      </c>
      <c r="B622" s="208">
        <f>(FRorig.sd1*Ksw+(1-FRorig.sd1)*Ksw.alt)*(1000/RHOsolid/CORG)*CORG.sd1C</f>
        <v>2500</v>
      </c>
      <c r="C622" s="209" t="s">
        <v>1039</v>
      </c>
    </row>
    <row r="623" spans="1:3" ht="15" customHeight="1" x14ac:dyDescent="0.3">
      <c r="A623" s="210" t="s">
        <v>173</v>
      </c>
      <c r="B623" s="208">
        <f>(FRorig.sd1*Ksw+(1-FRorig.sd1)*Ksw.alt)*(1000/RHOsolid/CORG)*CORG.sd1R</f>
        <v>2500</v>
      </c>
      <c r="C623" s="209" t="s">
        <v>2085</v>
      </c>
    </row>
    <row r="624" spans="1:3" ht="15" customHeight="1" x14ac:dyDescent="0.3">
      <c r="A624" s="210" t="s">
        <v>174</v>
      </c>
      <c r="B624" s="208">
        <f>(FRorig.sd2*Ksw+(1-FRorig.sd2)*Ksw.alt)*(1000/RHOsolid/CORG)*CORG.sd2C</f>
        <v>2500</v>
      </c>
      <c r="C624" s="209" t="s">
        <v>1039</v>
      </c>
    </row>
    <row r="625" spans="1:3" ht="15" customHeight="1" x14ac:dyDescent="0.3">
      <c r="A625" s="210" t="s">
        <v>175</v>
      </c>
      <c r="B625" s="208">
        <f>(FRorig.sd2*Ksw+(1-FRorig.sd2)*Ksw.alt)*(1000/RHOsolid/CORG)*CORG.sd2R</f>
        <v>2500</v>
      </c>
      <c r="C625" s="209" t="s">
        <v>2085</v>
      </c>
    </row>
    <row r="626" spans="1:3" ht="15" customHeight="1" x14ac:dyDescent="0.3">
      <c r="A626" s="210" t="s">
        <v>176</v>
      </c>
      <c r="B626" s="208">
        <f>(FRorig.sd2*Ksw+(1-FRorig.sd2)*Ksw.alt)*(1000/RHOsolid/CORG)*CORG.sdA</f>
        <v>2500</v>
      </c>
      <c r="C626" s="209" t="s">
        <v>2085</v>
      </c>
    </row>
    <row r="627" spans="1:3" ht="15" customHeight="1" x14ac:dyDescent="0.3">
      <c r="A627" s="210" t="s">
        <v>177</v>
      </c>
      <c r="B627" s="208">
        <f>(FRorig.sd2*Ksw+(1-FRorig.sd2)*Ksw.alt)*(1000/RHOsolid/CORG)*CORG.sdM</f>
        <v>2500</v>
      </c>
      <c r="C627" s="209" t="s">
        <v>2085</v>
      </c>
    </row>
    <row r="628" spans="1:3" ht="15" customHeight="1" x14ac:dyDescent="0.3">
      <c r="A628" s="210" t="s">
        <v>178</v>
      </c>
      <c r="B628" s="208">
        <f>(FRorig.sd2*Ksw+(1-FRorig.sd2)*Ksw.alt)*(1000/RHOsolid/CORG)*CORG.sdT</f>
        <v>2500</v>
      </c>
      <c r="C628" s="209" t="s">
        <v>2085</v>
      </c>
    </row>
    <row r="629" spans="1:3" ht="15" customHeight="1" x14ac:dyDescent="0.3">
      <c r="A629" s="210" t="s">
        <v>179</v>
      </c>
      <c r="B629" s="208">
        <f>(FRorig.s1*Ksw+(1-FRorig.s1)*Ksw.alt)*(1000/RHOsolid/CORG)*CORG.sM</f>
        <v>1000</v>
      </c>
      <c r="C629" s="209" t="s">
        <v>2085</v>
      </c>
    </row>
    <row r="630" spans="1:3" ht="15" customHeight="1" x14ac:dyDescent="0.3">
      <c r="A630" s="210" t="s">
        <v>180</v>
      </c>
      <c r="B630" s="208">
        <f>(FRorig.s1*Ksw+(1-FRorig.s1)*Ksw.alt)*(1000/RHOsolid/CORG)*CORG.sT</f>
        <v>1000</v>
      </c>
      <c r="C630" s="209" t="s">
        <v>2085</v>
      </c>
    </row>
    <row r="631" spans="1:3" ht="15" customHeight="1" x14ac:dyDescent="0.3">
      <c r="A631" s="210" t="s">
        <v>343</v>
      </c>
      <c r="B631" s="208">
        <f>(FRorig.w1*Ksw+(1-FRorig.w1)*Ksw.alt)*(1000/RHOsolid/CORG)*CORG.susp0C</f>
        <v>5000</v>
      </c>
      <c r="C631" s="209" t="s">
        <v>2085</v>
      </c>
    </row>
    <row r="632" spans="1:3" ht="15" customHeight="1" x14ac:dyDescent="0.3">
      <c r="A632" s="210" t="s">
        <v>293</v>
      </c>
      <c r="B632" s="208">
        <f>(FRorig.w1*Ksw+(1-FRorig.w1)*Ksw.alt)*(1000/RHOsolid/CORG)*CORG.susp0R</f>
        <v>5000</v>
      </c>
      <c r="C632" s="209" t="s">
        <v>2085</v>
      </c>
    </row>
    <row r="633" spans="1:3" ht="15" customHeight="1" x14ac:dyDescent="0.3">
      <c r="A633" s="210" t="s">
        <v>181</v>
      </c>
      <c r="B633" s="208">
        <f>(FRorig.w1*Ksw+(1-FRorig.w1)*Ksw.alt)*(1000/RHOsolid/CORG)*CORG.susp1C</f>
        <v>5000</v>
      </c>
      <c r="C633" s="209" t="s">
        <v>1039</v>
      </c>
    </row>
    <row r="634" spans="1:3" ht="15" customHeight="1" x14ac:dyDescent="0.3">
      <c r="A634" s="210" t="s">
        <v>182</v>
      </c>
      <c r="B634" s="208">
        <f>(FRorig.w1*Ksw+(1-FRorig.w1)*Ksw.alt)*(1000/RHOsolid/CORG)*CORG.susp1R</f>
        <v>5000</v>
      </c>
      <c r="C634" s="209" t="s">
        <v>2085</v>
      </c>
    </row>
    <row r="635" spans="1:3" ht="15" customHeight="1" x14ac:dyDescent="0.3">
      <c r="A635" s="210" t="s">
        <v>1149</v>
      </c>
      <c r="B635" s="208">
        <f>(FRorig.w2*Ksw+(1-FRorig.w2)*Ksw.alt)*(1000/RHOsolid/CORG)*CORG.susp2A</f>
        <v>5000</v>
      </c>
      <c r="C635" s="209" t="s">
        <v>2085</v>
      </c>
    </row>
    <row r="636" spans="1:3" ht="15" customHeight="1" x14ac:dyDescent="0.3">
      <c r="A636" s="210" t="s">
        <v>183</v>
      </c>
      <c r="B636" s="208">
        <f>(FRorig.w2*Ksw+(1-FRorig.w2)*Ksw.alt)*(1000/RHOsolid/CORG)*CORG.susp2C</f>
        <v>5000</v>
      </c>
      <c r="C636" s="209" t="s">
        <v>1039</v>
      </c>
    </row>
    <row r="637" spans="1:3" ht="15" customHeight="1" x14ac:dyDescent="0.3">
      <c r="A637" s="210" t="s">
        <v>136</v>
      </c>
      <c r="B637" s="208">
        <f>(FRorig.w2*Ksw+(1-FRorig.w2)*Ksw.alt)*(1000/RHOsolid/CORG)*CORG.susp2M</f>
        <v>5000</v>
      </c>
      <c r="C637" s="209" t="s">
        <v>2085</v>
      </c>
    </row>
    <row r="638" spans="1:3" ht="15" customHeight="1" x14ac:dyDescent="0.3">
      <c r="A638" s="210" t="s">
        <v>184</v>
      </c>
      <c r="B638" s="208">
        <f>(FRorig.w2*Ksw+(1-FRorig.w2)*Ksw.alt)*(1000/RHOsolid/CORG)*CORG.susp2R</f>
        <v>5000</v>
      </c>
      <c r="C638" s="209" t="s">
        <v>2085</v>
      </c>
    </row>
    <row r="639" spans="1:3" ht="15" customHeight="1" x14ac:dyDescent="0.3">
      <c r="A639" s="210" t="s">
        <v>1121</v>
      </c>
      <c r="B639" s="208">
        <f>(FRorig.w2*Ksw+(1-FRorig.w2)*Ksw.alt)*(1000/RHOsolid/CORG)*CORG.susp2T</f>
        <v>5000</v>
      </c>
      <c r="C639" s="209" t="s">
        <v>2085</v>
      </c>
    </row>
    <row r="640" spans="1:3" ht="15" customHeight="1" x14ac:dyDescent="0.3">
      <c r="A640" s="210" t="s">
        <v>1150</v>
      </c>
      <c r="B640" s="208">
        <f>(FRorig.w2*Ksw+(1-FRorig.w2)*Ksw.alt)*(1000/RHOsolid/CORG)*CORG.susp3A</f>
        <v>5000</v>
      </c>
      <c r="C640" s="209" t="s">
        <v>2085</v>
      </c>
    </row>
    <row r="641" spans="1:3" ht="15" customHeight="1" x14ac:dyDescent="0.3">
      <c r="A641" s="210" t="s">
        <v>137</v>
      </c>
      <c r="B641" s="208">
        <f>(FRorig.w2*Ksw+(1-FRorig.w2)*Ksw.alt)*(1000/RHOsolid/CORG)*CORG.susp3M</f>
        <v>5000</v>
      </c>
      <c r="C641" s="209" t="s">
        <v>1498</v>
      </c>
    </row>
    <row r="642" spans="1:3" ht="15" customHeight="1" x14ac:dyDescent="0.3">
      <c r="A642" s="210" t="s">
        <v>1123</v>
      </c>
      <c r="B642" s="208">
        <f>(FRorig.w2*Ksw+(1-FRorig.w2)*Ksw.alt)*(1000/RHOsolid/CORG)*CORG.susp3T</f>
        <v>5000</v>
      </c>
      <c r="C642" s="209" t="s">
        <v>2085</v>
      </c>
    </row>
    <row r="643" spans="1:3" ht="15" customHeight="1" x14ac:dyDescent="0.3">
      <c r="A643" s="210" t="s">
        <v>479</v>
      </c>
      <c r="B643" s="208">
        <f>FRACa.s1C*(Kaw.C*FRorig.s1w)+FRACw.s1C+FRACs.s1C*Kp.s1C*RHOsolid/1000</f>
        <v>1500.2000000000003</v>
      </c>
      <c r="C643" s="209" t="s">
        <v>36</v>
      </c>
    </row>
    <row r="644" spans="1:3" ht="15" customHeight="1" x14ac:dyDescent="0.3">
      <c r="A644" s="210" t="s">
        <v>1069</v>
      </c>
      <c r="B644" s="208">
        <f>FRACa.s1R*(Kaw.R*FRorig.s1w)+FRACw.s1R+FRACs.s1R*Kp.s1R*RHOsolid/1000</f>
        <v>1500.2000000000003</v>
      </c>
      <c r="C644" s="209" t="s">
        <v>36</v>
      </c>
    </row>
    <row r="645" spans="1:3" ht="15" customHeight="1" x14ac:dyDescent="0.3">
      <c r="A645" s="210" t="s">
        <v>481</v>
      </c>
      <c r="B645" s="208">
        <f>FRACa.s2C*(Kaw.C*FRorig.s2w)+FRACw.s2C+FRACs.s2C*Kp.s2C*RHOsolid/1000</f>
        <v>1500.2000000000003</v>
      </c>
      <c r="C645" s="209" t="s">
        <v>36</v>
      </c>
    </row>
    <row r="646" spans="1:3" ht="15" customHeight="1" x14ac:dyDescent="0.3">
      <c r="A646" s="210" t="s">
        <v>1071</v>
      </c>
      <c r="B646" s="208">
        <f>FRACa.s2R*(Kaw.R*FRorig.s2w)+FRACw.s2R+FRACs.s2R*Kp.s2R*RHOsolid/1000</f>
        <v>1500.2000000000003</v>
      </c>
      <c r="C646" s="209" t="s">
        <v>36</v>
      </c>
    </row>
    <row r="647" spans="1:3" ht="15" customHeight="1" x14ac:dyDescent="0.3">
      <c r="A647" s="210" t="s">
        <v>483</v>
      </c>
      <c r="B647" s="208">
        <f>FRACa.s3C*(Kaw.C*FRorig.s3w)+FRACw.s3C+FRACs.s3C*Kp.s3C*RHOsolid/1000</f>
        <v>1500.2000000000003</v>
      </c>
      <c r="C647" s="209" t="s">
        <v>36</v>
      </c>
    </row>
    <row r="648" spans="1:3" ht="15" customHeight="1" x14ac:dyDescent="0.3">
      <c r="A648" s="210" t="s">
        <v>1073</v>
      </c>
      <c r="B648" s="208">
        <f>FRACa.s3R*(Kaw.R*FRorig.s3w)+FRACw.s3R+FRACs.s3R*Kp.s3R*RHOsolid/1000</f>
        <v>1500.2000000000003</v>
      </c>
      <c r="C648" s="209" t="s">
        <v>36</v>
      </c>
    </row>
    <row r="649" spans="1:3" ht="15" customHeight="1" x14ac:dyDescent="0.3">
      <c r="A649" s="210" t="s">
        <v>411</v>
      </c>
      <c r="B649" s="208">
        <f>FRACw.sdA+FRACs.sdA*Kp.sdA*RHOsolid/1000</f>
        <v>1250.7999999999997</v>
      </c>
      <c r="C649" s="209" t="s">
        <v>36</v>
      </c>
    </row>
    <row r="650" spans="1:3" ht="15" customHeight="1" x14ac:dyDescent="0.3">
      <c r="A650" s="210" t="s">
        <v>438</v>
      </c>
      <c r="B650" s="208">
        <f>FRACw.sdM+FRACs.sdM*Kp.sdM*RHOsolid/1000</f>
        <v>1250.7999999999997</v>
      </c>
      <c r="C650" s="209" t="s">
        <v>36</v>
      </c>
    </row>
    <row r="651" spans="1:3" ht="15" customHeight="1" x14ac:dyDescent="0.3">
      <c r="A651" s="210" t="s">
        <v>113</v>
      </c>
      <c r="B651" s="208">
        <f>FRACw.sdT+FRACs.sdT*Kp.sdT*RHOsolid/1000</f>
        <v>1250.7999999999997</v>
      </c>
      <c r="C651" s="209" t="s">
        <v>36</v>
      </c>
    </row>
    <row r="652" spans="1:3" ht="15" customHeight="1" x14ac:dyDescent="0.3">
      <c r="A652" s="210" t="s">
        <v>1111</v>
      </c>
      <c r="B652" s="208">
        <f>FRACw.sdC+FRACs.sdC*Kp.sd1C*RHOsolid/1000</f>
        <v>1250.7999999999997</v>
      </c>
      <c r="C652" s="209" t="s">
        <v>36</v>
      </c>
    </row>
    <row r="653" spans="1:3" ht="15" customHeight="1" x14ac:dyDescent="0.3">
      <c r="A653" s="210" t="s">
        <v>466</v>
      </c>
      <c r="B653" s="217">
        <f>FRACw.sdR+FRACs.sdR*Kp.sd1R*RHOsolid/1000</f>
        <v>1250.7999999999997</v>
      </c>
      <c r="C653" s="209" t="s">
        <v>36</v>
      </c>
    </row>
    <row r="654" spans="1:3" ht="15" customHeight="1" x14ac:dyDescent="0.3">
      <c r="A654" s="210" t="s">
        <v>1299</v>
      </c>
      <c r="B654" s="208">
        <f>FRACw.sdC+FRACs.sdC*Kp.sd2C*RHOsolid/1000</f>
        <v>1250.7999999999997</v>
      </c>
      <c r="C654" s="209" t="s">
        <v>36</v>
      </c>
    </row>
    <row r="655" spans="1:3" ht="15" customHeight="1" x14ac:dyDescent="0.3">
      <c r="A655" s="210" t="s">
        <v>1067</v>
      </c>
      <c r="B655" s="208">
        <f>FRACw.sdR+FRACs.sdR*Kp.sd2R*RHOsolid/1000</f>
        <v>1250.7999999999997</v>
      </c>
      <c r="C655" s="209" t="s">
        <v>36</v>
      </c>
    </row>
    <row r="656" spans="1:3" ht="15" customHeight="1" x14ac:dyDescent="0.3">
      <c r="A656" s="210" t="s">
        <v>2057</v>
      </c>
      <c r="B656" s="208">
        <f>FRACa.sA*(Kaw.A*FRorig.s1w)+FRACw.sA+FRACs.sA*Kp.sA*RHOsolid/1000</f>
        <v>1500.2000000000003</v>
      </c>
      <c r="C656" s="209" t="s">
        <v>36</v>
      </c>
    </row>
    <row r="657" spans="1:3" ht="15" customHeight="1" x14ac:dyDescent="0.3">
      <c r="A657" s="210" t="s">
        <v>2056</v>
      </c>
      <c r="B657" s="208">
        <f>FRACa.sM*(Kaw.M*FRorig.s1w)+FRACw.sM+FRACs.sM*Kp.sM*RHOsolid/1000</f>
        <v>1500.2000000000003</v>
      </c>
      <c r="C657" s="209" t="s">
        <v>36</v>
      </c>
    </row>
    <row r="658" spans="1:3" ht="15" customHeight="1" x14ac:dyDescent="0.3">
      <c r="A658" s="210" t="s">
        <v>2050</v>
      </c>
      <c r="B658" s="208">
        <f>FRACa.sT*(Kaw.T*FRorig.s1w)+FRACw.sT+FRACs.sT*Kp.sT*RHOsolid/1000</f>
        <v>1500.2000000000003</v>
      </c>
      <c r="C658" s="209" t="s">
        <v>36</v>
      </c>
    </row>
    <row r="659" spans="1:3" ht="15" customHeight="1" x14ac:dyDescent="0.3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3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3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3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3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3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3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3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3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3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3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3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3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3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3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3">
      <c r="A674" s="207" t="s">
        <v>420</v>
      </c>
      <c r="B674" s="208">
        <f>FRACinf.s1C*RAINrate.C/Ks1w.C*SYSTEMAREA.C*AREAFRAC.s1C*CORRleach.s1C</f>
        <v>2.9808504751287115E-2</v>
      </c>
      <c r="C674" s="209" t="s">
        <v>2072</v>
      </c>
    </row>
    <row r="675" spans="1:3" ht="15" customHeight="1" x14ac:dyDescent="0.3">
      <c r="A675" s="207" t="s">
        <v>1220</v>
      </c>
      <c r="B675" s="208">
        <f>FRACinf.s1R*RAINrate.R/Ks1w.R*SYSTEMAREA.R*AREAFRAC.s1R*CORRleach.s1R</f>
        <v>1.9545733398554426E-3</v>
      </c>
      <c r="C675" s="209" t="s">
        <v>2072</v>
      </c>
    </row>
    <row r="676" spans="1:3" ht="15" customHeight="1" x14ac:dyDescent="0.3">
      <c r="A676" s="207" t="s">
        <v>421</v>
      </c>
      <c r="B676" s="208">
        <f>FRACinf.s2C*RAINrate.C/Ks2w.C*SYSTEMAREA.C*AREAFRAC.s2C*CORRleach.s2C</f>
        <v>0.12057321150221618</v>
      </c>
      <c r="C676" s="209" t="s">
        <v>2072</v>
      </c>
    </row>
    <row r="677" spans="1:3" ht="15" customHeight="1" x14ac:dyDescent="0.3">
      <c r="A677" s="207" t="s">
        <v>1221</v>
      </c>
      <c r="B677" s="208">
        <f>FRACinf.s2R*RAINrate.R/Ks2w.R*SYSTEMAREA.R*AREAFRAC.s2R*CORRleach.s2R</f>
        <v>7.9061055450225914E-3</v>
      </c>
      <c r="C677" s="209" t="s">
        <v>2072</v>
      </c>
    </row>
    <row r="678" spans="1:3" ht="15" customHeight="1" x14ac:dyDescent="0.3">
      <c r="A678" s="207" t="s">
        <v>422</v>
      </c>
      <c r="B678" s="208">
        <f>FRACinf.s3C*RAINrate.C/Ks3w.C*SYSTEMAREA.C*AREAFRAC.s3C*CORRleach.s3C</f>
        <v>1.1040186944921152E-2</v>
      </c>
      <c r="C678" s="209" t="s">
        <v>2072</v>
      </c>
    </row>
    <row r="679" spans="1:3" ht="15" customHeight="1" x14ac:dyDescent="0.3">
      <c r="A679" s="207" t="s">
        <v>1222</v>
      </c>
      <c r="B679" s="208">
        <f>FRACinf.s3R*RAINrate.R/Ks3w.R*SYSTEMAREA.R*AREAFRAC.s3R*CORRleach.s3R</f>
        <v>7.2391605179831196E-4</v>
      </c>
      <c r="C679" s="209" t="s">
        <v>2072</v>
      </c>
    </row>
    <row r="680" spans="1:3" ht="15" customHeight="1" x14ac:dyDescent="0.3">
      <c r="A680" s="207" t="s">
        <v>876</v>
      </c>
      <c r="B680" s="208">
        <f>FRACinf.sA*RAINrate.A/Kslw.A*SYSTEMAREA.A*AREAFRAC.sA*CORRleach.sA</f>
        <v>0.19229140308019588</v>
      </c>
      <c r="C680" s="209" t="s">
        <v>2072</v>
      </c>
    </row>
    <row r="681" spans="1:3" ht="15" customHeight="1" x14ac:dyDescent="0.3">
      <c r="A681" s="207" t="s">
        <v>783</v>
      </c>
      <c r="B681" s="217">
        <f>FRACinf.sM*RAINrate.M/Kslw.M*SYSTEMAREA.M*AREAFRAC.sM*CORRleach.sM</f>
        <v>1.2283987915941765</v>
      </c>
      <c r="C681" s="209" t="s">
        <v>2072</v>
      </c>
    </row>
    <row r="682" spans="1:3" ht="15" customHeight="1" x14ac:dyDescent="0.3">
      <c r="A682" s="207" t="s">
        <v>1392</v>
      </c>
      <c r="B682" s="208">
        <f>FRACinf.sT*RAINrate.T/Kslw.T*SYSTEMAREA.T*AREAFRAC.sT*CORRleach.sT</f>
        <v>2.2498094160382922</v>
      </c>
      <c r="C682" s="209" t="s">
        <v>2072</v>
      </c>
    </row>
    <row r="683" spans="1:3" ht="15" customHeight="1" x14ac:dyDescent="0.3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3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3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3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3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3">
      <c r="A688" s="206" t="s">
        <v>2025</v>
      </c>
      <c r="B688" s="208">
        <f>0.1*KDEG.sA</f>
        <v>8.8388347648318441E-23</v>
      </c>
      <c r="C688" s="212" t="s">
        <v>2073</v>
      </c>
    </row>
    <row r="689" spans="1:3" ht="15" customHeight="1" x14ac:dyDescent="0.3">
      <c r="A689" s="206" t="s">
        <v>2033</v>
      </c>
      <c r="B689" s="215">
        <f>0.1*KDEG.s1C</f>
        <v>4.0612619817811774E-22</v>
      </c>
      <c r="C689" s="212" t="s">
        <v>2073</v>
      </c>
    </row>
    <row r="690" spans="1:3" ht="15" customHeight="1" x14ac:dyDescent="0.3">
      <c r="A690" s="206" t="s">
        <v>2041</v>
      </c>
      <c r="B690" s="208">
        <f>0.1*KDEG.sM</f>
        <v>4.0612619817811774E-22</v>
      </c>
      <c r="C690" s="212" t="s">
        <v>2073</v>
      </c>
    </row>
    <row r="691" spans="1:3" ht="15" customHeight="1" x14ac:dyDescent="0.3">
      <c r="A691" s="206" t="s">
        <v>2029</v>
      </c>
      <c r="B691" s="208">
        <f>0.1*KDEG.s1R</f>
        <v>4.0612619817811774E-22</v>
      </c>
      <c r="C691" s="212" t="s">
        <v>2073</v>
      </c>
    </row>
    <row r="692" spans="1:3" ht="15" customHeight="1" x14ac:dyDescent="0.3">
      <c r="A692" s="206" t="s">
        <v>2054</v>
      </c>
      <c r="B692" s="208">
        <f>0.1*KDEG.sT</f>
        <v>9.9999999999999991E-22</v>
      </c>
      <c r="C692" s="212" t="s">
        <v>2073</v>
      </c>
    </row>
    <row r="693" spans="1:3" ht="15" customHeight="1" x14ac:dyDescent="0.3">
      <c r="A693" s="206" t="s">
        <v>2022</v>
      </c>
      <c r="B693" s="208">
        <f>0.01*(0.3+0.2*WINDspeed.A)*((0.018/Molweight)^(0.67*0.5))</f>
        <v>4.7436730073880193E-3</v>
      </c>
      <c r="C693" s="211" t="s">
        <v>2073</v>
      </c>
    </row>
    <row r="694" spans="1:3" ht="15" customHeight="1" x14ac:dyDescent="0.3">
      <c r="A694" s="206" t="s">
        <v>2030</v>
      </c>
      <c r="B694" s="208">
        <f>0.01*(0.3+0.2*WINDspeed.C)*((0.018/Molweight)^(0.67*0.5))</f>
        <v>4.7436730073880193E-3</v>
      </c>
      <c r="C694" s="212" t="s">
        <v>2073</v>
      </c>
    </row>
    <row r="695" spans="1:3" ht="15" customHeight="1" x14ac:dyDescent="0.3">
      <c r="A695" s="206" t="s">
        <v>2038</v>
      </c>
      <c r="B695" s="208">
        <f>0.01*(0.3+0.2*WINDspeed.M)*((0.018/Molweight)^(0.67*0.5))</f>
        <v>4.7436730073880193E-3</v>
      </c>
      <c r="C695" s="211" t="s">
        <v>2073</v>
      </c>
    </row>
    <row r="696" spans="1:3" ht="15" customHeight="1" x14ac:dyDescent="0.3">
      <c r="A696" s="206" t="s">
        <v>2026</v>
      </c>
      <c r="B696" s="208">
        <f>0.01*(0.3+0.2*WINDspeed.R)*((0.018/Molweight)^(0.67*0.5))</f>
        <v>4.7436730073880193E-3</v>
      </c>
      <c r="C696" s="212" t="s">
        <v>2073</v>
      </c>
    </row>
    <row r="697" spans="1:3" ht="15" customHeight="1" x14ac:dyDescent="0.3">
      <c r="A697" s="206" t="s">
        <v>2051</v>
      </c>
      <c r="B697" s="208">
        <f>0.01*(0.3+0.2*WINDspeed.T)*((0.018/Molweight)^(0.67*0.5))</f>
        <v>4.7436730073880193E-3</v>
      </c>
      <c r="C697" s="211" t="s">
        <v>2073</v>
      </c>
    </row>
    <row r="698" spans="1:3" ht="15" customHeight="1" x14ac:dyDescent="0.3">
      <c r="A698" s="206" t="s">
        <v>2023</v>
      </c>
      <c r="B698" s="208">
        <f>0.01*(0.0004+0.00004*WINDspeed.A^2)*((0.032/Molweight)^(0.5*0.5))</f>
        <v>5.4415788550341428E-6</v>
      </c>
      <c r="C698" s="211" t="s">
        <v>2073</v>
      </c>
    </row>
    <row r="699" spans="1:3" ht="15" customHeight="1" x14ac:dyDescent="0.3">
      <c r="A699" s="206" t="s">
        <v>2031</v>
      </c>
      <c r="B699" s="208">
        <f>0.01*(0.0004+0.00004*WINDspeed.C^2)*((0.032/Molweight)^(0.5*0.5))</f>
        <v>5.4415788550341428E-6</v>
      </c>
      <c r="C699" s="212" t="s">
        <v>2073</v>
      </c>
    </row>
    <row r="700" spans="1:3" ht="15" customHeight="1" x14ac:dyDescent="0.3">
      <c r="A700" s="206" t="s">
        <v>2039</v>
      </c>
      <c r="B700" s="208">
        <f>0.01*(0.0004+0.00004*WINDspeed.M^2)*((0.032/Molweight)^(0.5*0.5))</f>
        <v>5.4415788550341428E-6</v>
      </c>
      <c r="C700" s="211" t="s">
        <v>2073</v>
      </c>
    </row>
    <row r="701" spans="1:3" ht="15" customHeight="1" x14ac:dyDescent="0.3">
      <c r="A701" s="206" t="s">
        <v>2027</v>
      </c>
      <c r="B701" s="208">
        <f>0.01*(0.0004+0.00004*WINDspeed.R^2)*((0.032/Molweight)^(0.5*0.5))</f>
        <v>5.4415788550341428E-6</v>
      </c>
      <c r="C701" s="212" t="s">
        <v>2073</v>
      </c>
    </row>
    <row r="702" spans="1:3" ht="15" customHeight="1" x14ac:dyDescent="0.3">
      <c r="A702" s="206" t="s">
        <v>2052</v>
      </c>
      <c r="B702" s="208">
        <f>0.01*(0.0004+0.00004*WINDspeed.T^2)*((0.032/Molweight)^(0.5*0.5))</f>
        <v>5.4415788550341428E-6</v>
      </c>
      <c r="C702" s="211" t="s">
        <v>2073</v>
      </c>
    </row>
    <row r="703" spans="1:3" ht="15" customHeight="1" x14ac:dyDescent="0.3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3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3">
      <c r="A705" s="210" t="s">
        <v>660</v>
      </c>
      <c r="B705" s="208">
        <v>0</v>
      </c>
      <c r="C705" s="212" t="s">
        <v>2073</v>
      </c>
    </row>
    <row r="706" spans="1:3" ht="15" customHeight="1" x14ac:dyDescent="0.3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3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3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3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3">
      <c r="A710" s="207" t="s">
        <v>1277</v>
      </c>
      <c r="B710" s="208">
        <v>150000000</v>
      </c>
      <c r="C710" s="206" t="s">
        <v>2072</v>
      </c>
    </row>
    <row r="711" spans="1:3" ht="15" customHeight="1" x14ac:dyDescent="0.3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3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3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3">
      <c r="A714" s="209" t="s">
        <v>644</v>
      </c>
      <c r="B714" s="208">
        <v>3</v>
      </c>
      <c r="C714" s="209" t="s">
        <v>36</v>
      </c>
    </row>
    <row r="715" spans="1:3" ht="15" customHeight="1" x14ac:dyDescent="0.3">
      <c r="A715" s="209" t="s">
        <v>219</v>
      </c>
      <c r="B715" s="208">
        <v>5</v>
      </c>
      <c r="C715" s="209" t="s">
        <v>36</v>
      </c>
    </row>
    <row r="716" spans="1:3" ht="15" customHeight="1" x14ac:dyDescent="0.3">
      <c r="A716" s="209" t="s">
        <v>220</v>
      </c>
      <c r="B716" s="208">
        <v>7</v>
      </c>
      <c r="C716" s="209" t="s">
        <v>36</v>
      </c>
    </row>
    <row r="717" spans="1:3" ht="15" customHeight="1" x14ac:dyDescent="0.3">
      <c r="A717" s="209" t="s">
        <v>221</v>
      </c>
      <c r="B717" s="208">
        <v>7</v>
      </c>
      <c r="C717" s="209" t="s">
        <v>36</v>
      </c>
    </row>
    <row r="718" spans="1:3" ht="15" customHeight="1" x14ac:dyDescent="0.3">
      <c r="A718" s="209" t="s">
        <v>218</v>
      </c>
      <c r="B718" s="208">
        <v>7</v>
      </c>
      <c r="C718" s="209" t="s">
        <v>36</v>
      </c>
    </row>
    <row r="719" spans="1:3" ht="15" customHeight="1" x14ac:dyDescent="0.3">
      <c r="A719" s="209" t="s">
        <v>222</v>
      </c>
      <c r="B719" s="208">
        <v>8</v>
      </c>
      <c r="C719" s="209" t="s">
        <v>36</v>
      </c>
    </row>
    <row r="720" spans="1:3" ht="15" customHeight="1" x14ac:dyDescent="0.3">
      <c r="A720" s="209" t="s">
        <v>1339</v>
      </c>
      <c r="B720" s="213">
        <v>7</v>
      </c>
      <c r="C720" s="209"/>
    </row>
    <row r="721" spans="1:3" ht="15" customHeight="1" x14ac:dyDescent="0.3">
      <c r="A721" s="206" t="s">
        <v>1348</v>
      </c>
      <c r="B721" s="215">
        <f>IF(Tm&gt;298,EXP(-6.79*(1-Tm/298))*Pvap25*EXP((H0vap/8.314)*(1/298-1/TEMP.A)),Pvap25*EXP((H0vap/8.314)*(1/298-1/TEMP.A)))</f>
        <v>0.12378321337117491</v>
      </c>
      <c r="C721" s="206" t="s">
        <v>487</v>
      </c>
    </row>
    <row r="722" spans="1:3" ht="15" customHeight="1" x14ac:dyDescent="0.3">
      <c r="A722" s="209" t="s">
        <v>1346</v>
      </c>
      <c r="B722" s="215">
        <f>IF(Tm&gt;298,EXP(-6.79*(1-Tm/298))*Pvap25*EXP((H0vap/8.314)*(1/298-1/TEMP.C)),Pvap25*EXP((H0vap/8.314)*(1/298-1/TEMP.C)))</f>
        <v>1.2153555313483511</v>
      </c>
      <c r="C722" s="209" t="s">
        <v>487</v>
      </c>
    </row>
    <row r="723" spans="1:3" ht="15" customHeight="1" x14ac:dyDescent="0.3">
      <c r="A723" s="209" t="s">
        <v>1347</v>
      </c>
      <c r="B723" s="208">
        <f>IF(Tm&gt;298,EXP(-6.79*(1-Tm/298))*Pvap25*EXP((H0vap/8.314)*(1/298-1/TEMP.M)),Pvap25*EXP((H0vap/8.314)*(1/298-1/TEMP.M)))</f>
        <v>1.2153555313483511</v>
      </c>
      <c r="C723" s="209" t="s">
        <v>487</v>
      </c>
    </row>
    <row r="724" spans="1:3" ht="15" customHeight="1" x14ac:dyDescent="0.3">
      <c r="A724" s="206" t="s">
        <v>1363</v>
      </c>
      <c r="B724" s="215">
        <f>IF(Tm&gt;298,EXP(-6.79*(1-Tm/298))*Pvap25*EXP((H0vap/8.314)*(1/298-1/TEMP.R)),Pvap25*EXP((H0vap/8.314)*(1/298-1/TEMP.R)))</f>
        <v>1.2153555313483511</v>
      </c>
      <c r="C724" s="206" t="s">
        <v>487</v>
      </c>
    </row>
    <row r="725" spans="1:3" ht="15" customHeight="1" x14ac:dyDescent="0.3">
      <c r="A725" s="209" t="s">
        <v>1349</v>
      </c>
      <c r="B725" s="215">
        <f>IF(Tm&gt;298,EXP(-6.79*(1-Tm/298))*Pvap25*EXP((H0vap/8.314)*(1/298-1/TEMP.T)),Pvap25*EXP((H0vap/8.314)*(1/298-1/TEMP.T)))</f>
        <v>4</v>
      </c>
      <c r="C725" s="209" t="s">
        <v>487</v>
      </c>
    </row>
    <row r="726" spans="1:3" ht="15" customHeight="1" x14ac:dyDescent="0.3">
      <c r="A726" s="209" t="s">
        <v>267</v>
      </c>
      <c r="B726" s="213">
        <v>2</v>
      </c>
      <c r="C726" s="209" t="s">
        <v>36</v>
      </c>
    </row>
    <row r="727" spans="1:3" ht="15" customHeight="1" x14ac:dyDescent="0.3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3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3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3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3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3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3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3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3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3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3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3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3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3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3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3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3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3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3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3">
      <c r="A746" s="206" t="s">
        <v>1544</v>
      </c>
      <c r="B746" s="208">
        <v>2000</v>
      </c>
      <c r="C746" s="209" t="s">
        <v>2086</v>
      </c>
    </row>
    <row r="747" spans="1:3" ht="15" customHeight="1" x14ac:dyDescent="0.3">
      <c r="A747" s="210" t="s">
        <v>985</v>
      </c>
      <c r="B747" s="213">
        <v>2500</v>
      </c>
      <c r="C747" s="209" t="s">
        <v>2086</v>
      </c>
    </row>
    <row r="748" spans="1:3" ht="15" customHeight="1" x14ac:dyDescent="0.3">
      <c r="A748" s="207" t="s">
        <v>568</v>
      </c>
      <c r="B748" s="208">
        <f>(RAINrate.C*FRACrun.s1C/Ks1w.C+EROSION.s1C)*SYSTEMAREA.C*AREAFRAC.s1C*CORRrunoff.s1C</f>
        <v>5.5617194437939448</v>
      </c>
      <c r="C748" s="209" t="s">
        <v>2072</v>
      </c>
    </row>
    <row r="749" spans="1:3" ht="15" customHeight="1" x14ac:dyDescent="0.3">
      <c r="A749" s="207" t="s">
        <v>977</v>
      </c>
      <c r="B749" s="208">
        <f>(RAINrate.R*FRACrun.s1R/Ks1w.R+EROSION.s1R)*SYSTEMAREA.R*AREAFRAC.s1R*CORRrunoff.s1R</f>
        <v>0.36468748229063347</v>
      </c>
      <c r="C749" s="209" t="s">
        <v>2072</v>
      </c>
    </row>
    <row r="750" spans="1:3" ht="15" customHeight="1" x14ac:dyDescent="0.3">
      <c r="A750" s="207" t="s">
        <v>569</v>
      </c>
      <c r="B750" s="208">
        <f>(RAINrate.C*FRACrun.s2C/Ks2w.C+EROSION.s2C)*SYSTEMAREA.C*AREAFRAC.s2C*CORRrunoff.s2C</f>
        <v>22.496746495934172</v>
      </c>
      <c r="C750" s="209" t="s">
        <v>2072</v>
      </c>
    </row>
    <row r="751" spans="1:3" ht="15" customHeight="1" x14ac:dyDescent="0.3">
      <c r="A751" s="207" t="s">
        <v>978</v>
      </c>
      <c r="B751" s="208">
        <f>(RAINrate.R*FRACrun.s2R/Ks2w.R+EROSION.s2R)*SYSTEMAREA.R*AREAFRAC.s2R*CORRrunoff.s2R</f>
        <v>1.4751340700019715</v>
      </c>
      <c r="C751" s="209" t="s">
        <v>2072</v>
      </c>
    </row>
    <row r="752" spans="1:3" ht="15" customHeight="1" x14ac:dyDescent="0.3">
      <c r="A752" s="207" t="s">
        <v>1096</v>
      </c>
      <c r="B752" s="208">
        <f>(RAINrate.C*FRACrun.s3C/Ks3w.C+EROSION.s3C)*SYSTEMAREA.C*AREAFRAC.s3C*CORRrunoff.s3C</f>
        <v>2.0598960902940529</v>
      </c>
      <c r="C752" s="209" t="s">
        <v>2072</v>
      </c>
    </row>
    <row r="753" spans="1:3" ht="15" customHeight="1" x14ac:dyDescent="0.3">
      <c r="A753" s="207" t="s">
        <v>1095</v>
      </c>
      <c r="B753" s="208">
        <f>(RAINrate.R*FRACrun.s3R/Ks3w.R+EROSION.s3R)*SYSTEMAREA.R*AREAFRAC.s3R*CORRrunoff.s3R</f>
        <v>0.13506943788541978</v>
      </c>
      <c r="C753" s="209" t="s">
        <v>2072</v>
      </c>
    </row>
    <row r="754" spans="1:3" ht="15" customHeight="1" x14ac:dyDescent="0.3">
      <c r="A754" s="207" t="s">
        <v>921</v>
      </c>
      <c r="B754" s="208">
        <f>(RAINrate.A*FRACrun.sA/Kslw.A+EROSION.sA)*SYSTEMAREA.A*AREAFRAC.sA*CORRrunoff.sA</f>
        <v>49.089088014127462</v>
      </c>
      <c r="C754" s="206" t="s">
        <v>2072</v>
      </c>
    </row>
    <row r="755" spans="1:3" ht="15" customHeight="1" x14ac:dyDescent="0.3">
      <c r="A755" s="207" t="s">
        <v>920</v>
      </c>
      <c r="B755" s="208">
        <f>(RAINrate.M*FRACrun.sM/Kslw.M+EROSION.sM)*SYSTEMAREA.M*AREAFRAC.sM*CORRrunoff.sM</f>
        <v>229.19665045081854</v>
      </c>
      <c r="C755" s="206" t="s">
        <v>2072</v>
      </c>
    </row>
    <row r="756" spans="1:3" ht="15" customHeight="1" x14ac:dyDescent="0.3">
      <c r="A756" s="207" t="s">
        <v>922</v>
      </c>
      <c r="B756" s="208">
        <f>(RAINrate.T*FRACrun.sT/Kslw.T+EROSION.sT)*SYSTEMAREA.T*AREAFRAC.sT*CORRrunoff.sT</f>
        <v>380.13997799610547</v>
      </c>
      <c r="C756" s="206" t="s">
        <v>2072</v>
      </c>
    </row>
    <row r="757" spans="1:3" ht="15" customHeight="1" x14ac:dyDescent="0.3">
      <c r="A757" s="207" t="s">
        <v>14</v>
      </c>
      <c r="B757" s="208">
        <f>(GROSSSEDrate.w1C*FRACs.sdC*RHOsolid/SUSP.w1C)*((Kp.susp1C*SUSP.w1C/1000)*FRw.w1C)*(SYSTEMAREA.C*AREAFRAC.w1C)</f>
        <v>193516.77889121918</v>
      </c>
      <c r="C757" s="209" t="s">
        <v>2072</v>
      </c>
    </row>
    <row r="758" spans="1:3" ht="15" customHeight="1" x14ac:dyDescent="0.3">
      <c r="A758" s="207" t="s">
        <v>884</v>
      </c>
      <c r="B758" s="208">
        <f>(GROSSSEDrate.w1R*FRACs.sdR*RHOsolid/SUSP.w1R)*((Kp.susp1R*SUSP.w1R/1000)*FRw.w1R)*(SYSTEMAREA.R*AREAFRAC.w1R)</f>
        <v>12689.087895934974</v>
      </c>
      <c r="C758" s="209" t="s">
        <v>2072</v>
      </c>
    </row>
    <row r="759" spans="1:3" ht="15" customHeight="1" x14ac:dyDescent="0.3">
      <c r="A759" s="207" t="s">
        <v>1060</v>
      </c>
      <c r="B759" s="208">
        <f>(GROSSSEDrate.w2C*FRACs.sdC*RHOsolid/SUSP.w2C)*((Kp.susp2C*SUSP.w2C/1000)*FRw.w2C)*(SYSTEMAREA.C*AREAFRAC.w2C)</f>
        <v>2620684.2699293802</v>
      </c>
      <c r="C759" s="209" t="s">
        <v>2072</v>
      </c>
    </row>
    <row r="760" spans="1:3" ht="15" customHeight="1" x14ac:dyDescent="0.3">
      <c r="A760" s="207" t="s">
        <v>505</v>
      </c>
      <c r="B760" s="208">
        <f>(GROSSSEDrate.w2R*FRACs.sdR*RHOsolid/SUSP.w2R)*((Kp.susp2R*SUSP.w2R/1000)*FRw.w2R)*(SYSTEMAREA.R*AREAFRAC.w2R)</f>
        <v>705.73523255697137</v>
      </c>
      <c r="C760" s="209" t="s">
        <v>2072</v>
      </c>
    </row>
    <row r="761" spans="1:3" ht="15" customHeight="1" x14ac:dyDescent="0.3">
      <c r="A761" s="207" t="s">
        <v>160</v>
      </c>
      <c r="B761" s="208">
        <f>(GROSSSEDrate.w3A*FRACs.sdA*RHOsolid/SUSP.w3A)*((Kp.susp3A*SUSP.w3A/1000)*FRw.w3A)*(SYSTEMAREA.A*AREAFRAC.wA)</f>
        <v>17996248.430202752</v>
      </c>
      <c r="C761" s="206" t="s">
        <v>2072</v>
      </c>
    </row>
    <row r="762" spans="1:3" ht="15" customHeight="1" x14ac:dyDescent="0.3">
      <c r="A762" s="207" t="s">
        <v>152</v>
      </c>
      <c r="B762" s="208">
        <f>(GROSSSEDrate.w3M*FRACs.sdM*RHOsolid/SUSP.w3M)*((Kp.susp3M*SUSP.w3M/1000)*FRw.w3M)*(SYSTEMAREA.M*AREAFRAC.wM)</f>
        <v>27372357.378509313</v>
      </c>
      <c r="C762" s="206" t="s">
        <v>2072</v>
      </c>
    </row>
    <row r="763" spans="1:3" ht="15" customHeight="1" x14ac:dyDescent="0.3">
      <c r="A763" s="207" t="s">
        <v>155</v>
      </c>
      <c r="B763" s="208">
        <f>(GROSSSEDrate.w3T*FRACs.sdT*RHOsolid/SUSP.w3T)*((Kp.susp3T*SUSP.w3T/1000)*FRw.w3T)*(SYSTEMAREA.T*AREAFRAC.wT)</f>
        <v>62986869.505709626</v>
      </c>
      <c r="C763" s="206" t="s">
        <v>2072</v>
      </c>
    </row>
    <row r="764" spans="1:3" ht="15" customHeight="1" x14ac:dyDescent="0.3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3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3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3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3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3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3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3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3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3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3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3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3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3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3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3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3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3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3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3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3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3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3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3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3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3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3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3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3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3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3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3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3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3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3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3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3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3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3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3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3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3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3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3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3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3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3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3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3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3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3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3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3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3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3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3">
      <c r="A819" s="207" t="s">
        <v>1385</v>
      </c>
      <c r="B819" s="208">
        <f>(MTCas.air.aC*MTCas.soil.sC)/(MTCas.air.aC+MTCas.soil.sC/((Kaw.C*FRorig.s1w)/Ks1w.C))*SYSTEMAREA.C*AREAFRAC.s1C*CORRvolat.s1C</f>
        <v>3.1901504875402409E-15</v>
      </c>
      <c r="C819" s="209" t="s">
        <v>2072</v>
      </c>
    </row>
    <row r="820" spans="1:3" ht="15" customHeight="1" x14ac:dyDescent="0.3">
      <c r="A820" s="207" t="s">
        <v>739</v>
      </c>
      <c r="B820" s="208">
        <f>(MTCas.air.aR*MTCas.soil.sR)/(MTCas.air.aR+MTCas.soil.sR/((Kaw.R*FRorig.s1w)/Ks1w.R))*SYSTEMAREA.R*AREAFRAC.s1R*CORRvolat.s1R</f>
        <v>2.0918134422035233E-16</v>
      </c>
      <c r="C820" s="209" t="s">
        <v>2072</v>
      </c>
    </row>
    <row r="821" spans="1:3" ht="15" customHeight="1" x14ac:dyDescent="0.3">
      <c r="A821" s="207" t="s">
        <v>1238</v>
      </c>
      <c r="B821" s="208">
        <f>(MTCas.air.aC*MTCas.soil.sC)/(MTCas.air.aC+MTCas.soil.sC/((Kaw.C*FRorig.s2w)/Ks2w.C))*SYSTEMAREA.C*AREAFRAC.s2C*CORRvolat.s2C</f>
        <v>1.2903924321849077E-14</v>
      </c>
      <c r="C821" s="209" t="s">
        <v>2072</v>
      </c>
    </row>
    <row r="822" spans="1:3" ht="15" customHeight="1" x14ac:dyDescent="0.3">
      <c r="A822" s="207" t="s">
        <v>741</v>
      </c>
      <c r="B822" s="208">
        <f>(MTCas.air.aR*MTCas.soil.sR)/(MTCas.air.aR+MTCas.soil.sR/((Kaw.R*FRorig.s2w)/Ks2w.R))*SYSTEMAREA.R*AREAFRAC.s2R*CORRvolat.s2R</f>
        <v>8.461231675134382E-16</v>
      </c>
      <c r="C822" s="209" t="s">
        <v>2072</v>
      </c>
    </row>
    <row r="823" spans="1:3" ht="15" customHeight="1" x14ac:dyDescent="0.3">
      <c r="A823" s="207" t="s">
        <v>473</v>
      </c>
      <c r="B823" s="208">
        <f>(MTCas.air.aC*MTCas.soil.sC)/(MTCas.air.aC+MTCas.soil.sC/((Kaw.C*FRorig.s3w)/Ks3w.C))*SYSTEMAREA.C*AREAFRAC.s3C*CORRvolat.s3C</f>
        <v>1.1815372176074963E-15</v>
      </c>
      <c r="C823" s="209" t="s">
        <v>2072</v>
      </c>
    </row>
    <row r="824" spans="1:3" ht="15" customHeight="1" x14ac:dyDescent="0.3">
      <c r="A824" s="207" t="s">
        <v>1172</v>
      </c>
      <c r="B824" s="208">
        <f>(MTCas.air.aR*MTCas.soil.sR)/(MTCas.air.aR+MTCas.soil.sR/((Kaw.R*FRorig.s3w)/Ks3w.R))*SYSTEMAREA.R*AREAFRAC.s3R*CORRvolat.s3R</f>
        <v>7.747457193346382E-17</v>
      </c>
      <c r="C824" s="209" t="s">
        <v>2072</v>
      </c>
    </row>
    <row r="825" spans="1:3" ht="15" customHeight="1" x14ac:dyDescent="0.3">
      <c r="A825" s="207" t="s">
        <v>1232</v>
      </c>
      <c r="B825" s="208">
        <f>((MTCas.air.aA*MTCas.soil.sA)/(MTCas.air.aA+MTCas.soil.sA/((Kaw.A*FRorig.s1w)/Kslw.A))*(SYSTEMAREA.A*AREAFRAC.sA*CORRvolat.sA))</f>
        <v>9.052245636798193E-15</v>
      </c>
      <c r="C825" s="206" t="s">
        <v>2072</v>
      </c>
    </row>
    <row r="826" spans="1:3" ht="15" customHeight="1" x14ac:dyDescent="0.3">
      <c r="A826" s="207" t="s">
        <v>1331</v>
      </c>
      <c r="B826" s="208">
        <f>((MTCas.air.aM*MTCas.soil.sM/(MTCas.air.aM+MTCas.soil.sM/((Kaw.M*FRorig.s1w)/Kslw.M))*(SYSTEMAREA.M*AREAFRAC.sM*CORRvolat.sM)))</f>
        <v>1.3146506463826549E-13</v>
      </c>
      <c r="C826" s="206" t="s">
        <v>2072</v>
      </c>
    </row>
    <row r="827" spans="1:3" ht="15" customHeight="1" x14ac:dyDescent="0.3">
      <c r="A827" s="207" t="s">
        <v>1380</v>
      </c>
      <c r="B827" s="208">
        <f>((MTCas.air.aT*MTCas.soil.sT/(MTCas.air.aT+MTCas.soil.sT/((Kaw.T*FRorig.s1w)/Kslw.T))*(SYSTEMAREA.T*AREAFRAC.sT*CORRvolat.sT)))</f>
        <v>3.3946848006061131E-13</v>
      </c>
      <c r="C827" s="206" t="s">
        <v>2072</v>
      </c>
    </row>
    <row r="828" spans="1:3" ht="15" customHeight="1" x14ac:dyDescent="0.3">
      <c r="A828" s="207" t="s">
        <v>352</v>
      </c>
      <c r="B828" s="208">
        <f>(MTCaw.air.aC*MTCaw.water.wC/(FRorig.w1*MTCaw.air.aC*Kaw.C+MTCaw.water.wC))*Kaw.C*(FRw.w0C*FRorig.w1)*(SYSTEMAREA.C*AREAFRAC.w0C)</f>
        <v>1.5748854003752802E-13</v>
      </c>
      <c r="C828" s="209" t="s">
        <v>2072</v>
      </c>
    </row>
    <row r="829" spans="1:3" ht="15" customHeight="1" x14ac:dyDescent="0.3">
      <c r="A829" s="207" t="s">
        <v>303</v>
      </c>
      <c r="B829" s="208">
        <f>(MTCaw.air.aR*MTCaw.water.wR/(MTCaw.air.aR*(Kaw.R*FRorig.w1)+MTCaw.water.wR))*(Kaw.R*FRorig.w1)*FRw.w0R*(SYSTEMAREA.R*AREAFRAC.w0R)</f>
        <v>1.0326680397372737E-14</v>
      </c>
      <c r="C829" s="209" t="s">
        <v>2072</v>
      </c>
    </row>
    <row r="830" spans="1:3" ht="15" customHeight="1" x14ac:dyDescent="0.3">
      <c r="A830" s="207" t="s">
        <v>1381</v>
      </c>
      <c r="B830" s="208">
        <f>(MTCaw.air.aC*MTCaw.water.wC/(FRorig.w1*MTCaw.air.aC*Kaw.C+MTCaw.water.wC))*Kaw.C*(FRw.w1C*FRorig.w1)*(SYSTEMAREA.C*AREAFRAC.w1C)</f>
        <v>1.6155395753537915E-12</v>
      </c>
      <c r="C830" s="209" t="s">
        <v>2072</v>
      </c>
    </row>
    <row r="831" spans="1:3" ht="15" customHeight="1" x14ac:dyDescent="0.3">
      <c r="A831" s="207" t="s">
        <v>771</v>
      </c>
      <c r="B831" s="208">
        <f>(MTCaw.air.aR*MTCaw.water.wR/(MTCaw.air.aR*(Kaw.R*FRorig.w1)+MTCaw.water.wR))*(Kaw.R*FRorig.w1)*FRw.w1R*(SYSTEMAREA.R*AREAFRAC.w1R)</f>
        <v>1.0593253871050196E-13</v>
      </c>
      <c r="C831" s="209" t="s">
        <v>2072</v>
      </c>
    </row>
    <row r="832" spans="1:3" ht="15" customHeight="1" x14ac:dyDescent="0.3">
      <c r="A832" s="207" t="s">
        <v>1163</v>
      </c>
      <c r="B832" s="208">
        <f>(MTCaw.air.aA*MTCaw.water.wA/(FRorig.w1*MTCaw.air.aA*Kaw.A+MTCaw.water.wA))*Kaw.A*(FRw.w2A*FRorig.w1)*(SYSTEMAREA.A*AREAFRAC.wA)</f>
        <v>7.0805805468621095E-11</v>
      </c>
      <c r="C832" s="206" t="s">
        <v>2072</v>
      </c>
    </row>
    <row r="833" spans="1:3" ht="15" customHeight="1" x14ac:dyDescent="0.3">
      <c r="A833" s="207" t="s">
        <v>1383</v>
      </c>
      <c r="B833" s="208">
        <f>(MTCaw.air.aC*MTCaw.water.wC/(FRorig.w2*MTCaw.air.aC*Kaw.C+MTCaw.water.wC))*Kaw.C*(FRw.w2C*FRorig.w2)*(SYSTEMAREA.C*AREAFRAC.w2C)</f>
        <v>6.5634915641470213E-11</v>
      </c>
      <c r="C833" s="209" t="s">
        <v>2072</v>
      </c>
    </row>
    <row r="834" spans="1:3" ht="15" customHeight="1" x14ac:dyDescent="0.3">
      <c r="A834" s="207" t="s">
        <v>146</v>
      </c>
      <c r="B834" s="208">
        <f>(MTCaw.air.aM*MTCaw.water.wM/(FRorig.w1*MTCaw.air.aM*Kaw.M+MTCaw.water.wM))*Kaw.M*(FRw.w2M*FRorig.w1)*(SYSTEMAREA.M*AREAFRAC.wM)</f>
        <v>6.855394173427256E-10</v>
      </c>
      <c r="C834" s="206" t="s">
        <v>2072</v>
      </c>
    </row>
    <row r="835" spans="1:3" ht="15" customHeight="1" x14ac:dyDescent="0.3">
      <c r="A835" s="207" t="s">
        <v>737</v>
      </c>
      <c r="B835" s="208">
        <f>(MTCaw.air.aR*MTCaw.water.wR/(MTCaw.air.aR*(Kaw.R*FRorig.w2)+MTCaw.water.wR))*(Kaw.R*FRorig.w2)*FRw.w2R*(SYSTEMAREA.R*AREAFRAC.w2R)</f>
        <v>1.767510607271222E-14</v>
      </c>
      <c r="C835" s="209" t="s">
        <v>2072</v>
      </c>
    </row>
    <row r="836" spans="1:3" ht="15" customHeight="1" x14ac:dyDescent="0.3">
      <c r="A836" s="207" t="s">
        <v>1134</v>
      </c>
      <c r="B836" s="208">
        <f>(MTCaw.air.aT*MTCaw.water.wT/(FRorig.w1*MTCaw.air.aT*Kaw.T+MTCaw.water.wT))*Kaw.T*(FRw.w2T*FRorig.w1)*(SYSTEMAREA.T*AREAFRAC.wT)</f>
        <v>4.1304606938833253E-9</v>
      </c>
      <c r="C836" s="206" t="s">
        <v>2072</v>
      </c>
    </row>
    <row r="837" spans="1:3" ht="15" customHeight="1" x14ac:dyDescent="0.3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3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3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3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3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3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3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3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3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3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3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3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3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3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3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3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3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3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3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3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3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3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3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3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3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3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3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3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3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3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3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3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3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3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3">
      <c r="A871" s="210" t="s">
        <v>334</v>
      </c>
      <c r="B871" s="208">
        <v>0</v>
      </c>
      <c r="C871" s="209" t="s">
        <v>2072</v>
      </c>
    </row>
    <row r="872" spans="1:3" ht="15" customHeight="1" x14ac:dyDescent="0.3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3">
      <c r="A873" s="210" t="s">
        <v>315</v>
      </c>
      <c r="B873" s="208">
        <v>0</v>
      </c>
      <c r="C873" s="209" t="s">
        <v>2072</v>
      </c>
    </row>
    <row r="874" spans="1:3" ht="15" customHeight="1" x14ac:dyDescent="0.3">
      <c r="A874" s="210" t="s">
        <v>335</v>
      </c>
      <c r="B874" s="208">
        <v>0</v>
      </c>
      <c r="C874" s="209" t="s">
        <v>2072</v>
      </c>
    </row>
    <row r="875" spans="1:3" ht="15" customHeight="1" x14ac:dyDescent="0.3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3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3">
      <c r="A877" s="210" t="s">
        <v>322</v>
      </c>
      <c r="B877" s="208">
        <v>0</v>
      </c>
      <c r="C877" s="209" t="s">
        <v>2072</v>
      </c>
    </row>
    <row r="878" spans="1:3" ht="15" customHeight="1" x14ac:dyDescent="0.3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3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3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3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3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3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3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3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3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3">
      <c r="A887" s="207" t="s">
        <v>407</v>
      </c>
      <c r="B887" s="208">
        <v>3</v>
      </c>
      <c r="C887" s="211" t="s">
        <v>2073</v>
      </c>
    </row>
    <row r="888" spans="1:3" ht="15" customHeight="1" x14ac:dyDescent="0.3">
      <c r="A888" s="206" t="s">
        <v>787</v>
      </c>
      <c r="B888" s="213">
        <v>3</v>
      </c>
      <c r="C888" s="206" t="s">
        <v>1490</v>
      </c>
    </row>
    <row r="889" spans="1:3" ht="15" customHeight="1" x14ac:dyDescent="0.3">
      <c r="A889" s="207" t="s">
        <v>567</v>
      </c>
      <c r="B889" s="208">
        <v>3</v>
      </c>
      <c r="C889" s="211" t="s">
        <v>2073</v>
      </c>
    </row>
    <row r="890" spans="1:3" ht="15" customHeight="1" x14ac:dyDescent="0.3">
      <c r="A890" s="206" t="s">
        <v>109</v>
      </c>
      <c r="B890" s="213">
        <v>3</v>
      </c>
      <c r="C890" s="206" t="s">
        <v>1490</v>
      </c>
    </row>
    <row r="891" spans="1:3" ht="15" customHeight="1" x14ac:dyDescent="0.3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2025-03-27T15:41:17Z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